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918" activeTab="0"/>
  </bookViews>
  <sheets>
    <sheet name="Tonghop_Dongia" sheetId="1" r:id="rId1"/>
    <sheet name="nhâncông" sheetId="2" r:id="rId2"/>
    <sheet name="LN1490-ND205" sheetId="3" r:id="rId3"/>
    <sheet name="luongngay" sheetId="4" r:id="rId4"/>
    <sheet name="Vatlieu_C_QLBĐTV" sheetId="5" r:id="rId5"/>
    <sheet name="Vatlieu_C_BSTL" sheetId="6" r:id="rId6"/>
    <sheet name="Vatlieu_C_BQK" sheetId="7" r:id="rId7"/>
    <sheet name="Vatlieu_B_CCTLMT" sheetId="8" r:id="rId8"/>
    <sheet name="Vatlieu_B_BQLBC" sheetId="9" r:id="rId9"/>
    <sheet name="Vatlieu_B_BQTL" sheetId="10" r:id="rId10"/>
    <sheet name="Vatlieu_B_BQKho" sheetId="11" r:id="rId11"/>
    <sheet name="Vatlieu_A_TN_KT_BG_BC" sheetId="12" r:id="rId12"/>
    <sheet name="Thietbi_C_CTTVMT" sheetId="13" r:id="rId13"/>
    <sheet name="Thietbi_B_CC" sheetId="14" r:id="rId14"/>
    <sheet name="Thietbi_B_BQ" sheetId="15" r:id="rId15"/>
    <sheet name="Thietbi_A_TN_KT_BG_BC" sheetId="16" r:id="rId16"/>
    <sheet name="Dungcu_C_luuBQHSL" sheetId="17" r:id="rId17"/>
    <sheet name="Dungcu_C_QLBĐ" sheetId="18" r:id="rId18"/>
    <sheet name="Dungcu_C_BSTL" sheetId="19" r:id="rId19"/>
    <sheet name="Dungcu_C_BQK" sheetId="20" r:id="rId20"/>
    <sheet name="Dungcu_B_BQ_CC" sheetId="21" r:id="rId21"/>
    <sheet name="Dungcu_A_BC" sheetId="22" r:id="rId22"/>
    <sheet name="Dungcu_A_TN_KT_BG" sheetId="23" r:id="rId23"/>
  </sheets>
  <definedNames>
    <definedName name="_bdg_33459_0_0" localSheetId="22">'Dungcu_A_TN_KT_BG'!#REF!</definedName>
    <definedName name="_bdg_33553_0_0" localSheetId="22">'Dungcu_A_TN_KT_BG'!#REF!</definedName>
    <definedName name="_bdg_33590_0_0" localSheetId="22">'Dungcu_A_TN_KT_BG'!#REF!</definedName>
    <definedName name="_bdg_33623_0_0" localSheetId="22">'Dungcu_A_TN_KT_BG'!#REF!</definedName>
    <definedName name="_bdg_33663_0_0" localSheetId="22">'Dungcu_A_TN_KT_BG'!#REF!</definedName>
    <definedName name="_bdg_33739_0_0" localSheetId="22">'Dungcu_A_TN_KT_BG'!#REF!</definedName>
    <definedName name="_bdg_33813_0_0" localSheetId="22">'Dungcu_A_TN_KT_BG'!#REF!</definedName>
    <definedName name="_bdg_33862_0_0" localSheetId="22">'Dungcu_A_TN_KT_BG'!#REF!</definedName>
    <definedName name="_bdg_33952_0_0" localSheetId="22">'Dungcu_A_TN_KT_BG'!#REF!</definedName>
    <definedName name="_bdg_34046_0_0" localSheetId="22">'Dungcu_A_TN_KT_BG'!#REF!</definedName>
    <definedName name="_bdg_34083_0_0" localSheetId="22">'Dungcu_A_TN_KT_BG'!#REF!</definedName>
    <definedName name="_bdg_34116_0_0" localSheetId="22">'Dungcu_A_TN_KT_BG'!#REF!</definedName>
    <definedName name="_bdg_34156_0_0" localSheetId="22">'Dungcu_A_TN_KT_BG'!#REF!</definedName>
    <definedName name="_bdg_34232_0_0" localSheetId="22">'Dungcu_A_TN_KT_BG'!#REF!</definedName>
    <definedName name="_bdg_34306_0_0" localSheetId="22">'Dungcu_A_TN_KT_BG'!#REF!</definedName>
    <definedName name="_bdg_34355_0_0" localSheetId="22">'Dungcu_A_TN_KT_BG'!#REF!</definedName>
    <definedName name="_bdg_34445_0_0" localSheetId="22">'Dungcu_A_TN_KT_BG'!#REF!</definedName>
    <definedName name="_bdg_34539_0_0" localSheetId="22">'Dungcu_A_TN_KT_BG'!#REF!</definedName>
    <definedName name="_bdg_34576_0_0" localSheetId="22">'Dungcu_A_TN_KT_BG'!#REF!</definedName>
    <definedName name="_bdg_34608_0_0" localSheetId="22">'Dungcu_A_TN_KT_BG'!#REF!</definedName>
    <definedName name="_bdg_34648_0_0" localSheetId="22">'Dungcu_A_TN_KT_BG'!#REF!</definedName>
    <definedName name="_bdg_34724_0_0" localSheetId="22">'Dungcu_A_TN_KT_BG'!#REF!</definedName>
    <definedName name="_bdg_34798_0_0" localSheetId="22">'Dungcu_A_TN_KT_BG'!#REF!</definedName>
    <definedName name="_bdg_34847_0_0" localSheetId="22">'Dungcu_A_TN_KT_BG'!#REF!</definedName>
    <definedName name="_bdg_36170_0_0" localSheetId="21">'Dungcu_A_BC'!$B$35</definedName>
    <definedName name="_bdg_36249_0_0" localSheetId="21">'Dungcu_A_BC'!$C$36</definedName>
    <definedName name="_bdg_36341_0_0" localSheetId="21">'Dungcu_A_BC'!$C$37</definedName>
    <definedName name="_bdg_36376_0_0" localSheetId="21">'Dungcu_A_BC'!$C$38</definedName>
    <definedName name="_bdg_36406_0_0" localSheetId="21">'Dungcu_A_BC'!$C$39</definedName>
    <definedName name="_bdg_36444_0_0" localSheetId="21">'Dungcu_A_BC'!$C$40</definedName>
    <definedName name="_bdg_36518_0_0" localSheetId="21">'Dungcu_A_BC'!$C$41</definedName>
    <definedName name="_bdg_36590_0_0" localSheetId="21">'Dungcu_A_BC'!$C$42</definedName>
    <definedName name="_bdg_36637_0_0" localSheetId="21">'Dungcu_A_BC'!$C$43</definedName>
    <definedName name="_bdg_36858_0_0" localSheetId="15">'Thietbi_A_TN_KT_BG_BC'!$C$5</definedName>
    <definedName name="_bdr_32667_0_0" localSheetId="22">'Dungcu_A_TN_KT_BG'!$B$15</definedName>
    <definedName name="_bdr_32786_0_0" localSheetId="22">'Dungcu_A_TN_KT_BG'!$B$19</definedName>
    <definedName name="_bdr_33069_0_0" localSheetId="22">'Dungcu_A_TN_KT_BG'!$B$27</definedName>
    <definedName name="_bdr_33104_0_0" localSheetId="22">'Dungcu_A_TN_KT_BG'!$B$28</definedName>
    <definedName name="_bdr_33254_0_0" localSheetId="22">'Dungcu_A_TN_KT_BG'!$C$33</definedName>
    <definedName name="_bdr_35582_0_0" localSheetId="21">'Dungcu_A_BC'!$B$15</definedName>
    <definedName name="_bdr_35846_0_0" localSheetId="21">'Dungcu_A_BC'!$B$23</definedName>
    <definedName name="_bdr_35881_0_0" localSheetId="21">'Dungcu_A_BC'!$B$24</definedName>
    <definedName name="_bdr_35936_0_0" localSheetId="21">'Dungcu_A_BC'!$B$26</definedName>
    <definedName name="_bdr_36031_0_0" localSheetId="21">'Dungcu_A_BC'!$C$29</definedName>
    <definedName name="_xlnm.Print_Titles" localSheetId="2">'LN1490-ND205'!$4:$5</definedName>
    <definedName name="_xlnm.Print_Titles" localSheetId="3">'luongngay'!$4:$5</definedName>
    <definedName name="_xlnm.Print_Titles" localSheetId="0">'Tonghop_Dongia'!$7:$8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Hồng Kiểm Tra tài liệu môi trường bao nhiêu % quản lý chung</t>
        </r>
      </text>
    </comment>
  </commentList>
</comments>
</file>

<file path=xl/sharedStrings.xml><?xml version="1.0" encoding="utf-8"?>
<sst xmlns="http://schemas.openxmlformats.org/spreadsheetml/2006/main" count="3278" uniqueCount="602">
  <si>
    <t xml:space="preserve">Lương </t>
  </si>
  <si>
    <t>KTV  4</t>
  </si>
  <si>
    <t>STT</t>
  </si>
  <si>
    <t>DANH  MỤC  CÔNG  VIỆC</t>
  </si>
  <si>
    <t>Kỹ sư 2</t>
  </si>
  <si>
    <t>Lương BQ</t>
  </si>
  <si>
    <t>Nhóm</t>
  </si>
  <si>
    <t>ngày/nhóm</t>
  </si>
  <si>
    <t>ngày</t>
  </si>
  <si>
    <t>I</t>
  </si>
  <si>
    <t>II</t>
  </si>
  <si>
    <t>1.1</t>
  </si>
  <si>
    <t>1.2</t>
  </si>
  <si>
    <t>2.1</t>
  </si>
  <si>
    <t>2.2</t>
  </si>
  <si>
    <t>2.3</t>
  </si>
  <si>
    <t>Chi  phí  trực  tiếp</t>
  </si>
  <si>
    <t>Tên  sản  phẩm</t>
  </si>
  <si>
    <t>Tổng</t>
  </si>
  <si>
    <t>3.1</t>
  </si>
  <si>
    <t>3.2</t>
  </si>
  <si>
    <t>1.3</t>
  </si>
  <si>
    <t>Đơn vị tính</t>
  </si>
  <si>
    <t>1.4</t>
  </si>
  <si>
    <t>1.5</t>
  </si>
  <si>
    <t>2.4</t>
  </si>
  <si>
    <t>III</t>
  </si>
  <si>
    <t>1.3.1</t>
  </si>
  <si>
    <t>1.3.2</t>
  </si>
  <si>
    <t>1.3.3</t>
  </si>
  <si>
    <t>1.3.4</t>
  </si>
  <si>
    <t>1.3.5</t>
  </si>
  <si>
    <t>1.3.6</t>
  </si>
  <si>
    <t>1.3.7</t>
  </si>
  <si>
    <t>1.5.1</t>
  </si>
  <si>
    <t>1.5.2</t>
  </si>
  <si>
    <t>1.5.3</t>
  </si>
  <si>
    <t>1.5.4</t>
  </si>
  <si>
    <t>1.6</t>
  </si>
  <si>
    <t>1.7</t>
  </si>
  <si>
    <t>2.1.1</t>
  </si>
  <si>
    <t>2.1.2</t>
  </si>
  <si>
    <t>2.3.1</t>
  </si>
  <si>
    <t>2.3.2</t>
  </si>
  <si>
    <t>2.3.3</t>
  </si>
  <si>
    <t>2.3.4</t>
  </si>
  <si>
    <t>2.3.5</t>
  </si>
  <si>
    <t>2.5</t>
  </si>
  <si>
    <t>2.5.1</t>
  </si>
  <si>
    <t>2.5.2</t>
  </si>
  <si>
    <t>Kỹ sư 4</t>
  </si>
  <si>
    <t>2.5.3</t>
  </si>
  <si>
    <t>2.5.4</t>
  </si>
  <si>
    <t>2.6</t>
  </si>
  <si>
    <t>2.7</t>
  </si>
  <si>
    <t>2.7.1</t>
  </si>
  <si>
    <t>2.7.2</t>
  </si>
  <si>
    <t>2.7.3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</si>
  <si>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</si>
  <si>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</si>
  <si>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</si>
  <si>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</si>
  <si>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</si>
  <si>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</si>
  <si>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</si>
  <si>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</si>
  <si>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3.2.4</t>
  </si>
  <si>
    <t>3.2.5</t>
  </si>
  <si>
    <t>Công tác chuẩn bị</t>
  </si>
  <si>
    <t>Đảo kho</t>
  </si>
  <si>
    <t>Thu nhận</t>
  </si>
  <si>
    <t>mảnh</t>
  </si>
  <si>
    <t>1.1.1</t>
  </si>
  <si>
    <t>1.2.1</t>
  </si>
  <si>
    <t>3.4</t>
  </si>
  <si>
    <t>3.5</t>
  </si>
  <si>
    <t>3.8</t>
  </si>
  <si>
    <t>3.7</t>
  </si>
  <si>
    <t>3.6</t>
  </si>
  <si>
    <t>THUYẾT MINH BẢNG TÍNH ĐƠN GIÁ QUẢN LÝ VÀ CUNG CẤP THÔNG TIN VỀ TƯ LIỆU MÔI TRƯỜNG</t>
  </si>
  <si>
    <t>BẢNG TÍNH ĐƠN GIÁ NHÂN CÔNG QUẢN LÝ VÀ CUNG CẤP THÔNG TIN VỀ TƯ LIỆU MÔI TRƯỜNG</t>
  </si>
  <si>
    <t>THU NHẬN, KIỂM TRA 
TƯ LIỆU MÔI TRƯỜNG</t>
  </si>
  <si>
    <t>Thu nhận TLMT</t>
  </si>
  <si>
    <t>Báo cáo tổng kết của nhiệm vụ/dự án (dạng giấy và số)</t>
  </si>
  <si>
    <t>công nhóm/ quyển</t>
  </si>
  <si>
    <t>Báo cáo chuyên đề và các báo cáo khác của nhiệm vụ/dự án (dạng giấy và số)</t>
  </si>
  <si>
    <t>Bản đồ giấy và số</t>
  </si>
  <si>
    <t>công nhóm/ mảnh</t>
  </si>
  <si>
    <t xml:space="preserve">Cơ sở dữ liệu </t>
  </si>
  <si>
    <t>công nhóm/ nhóm lớp</t>
  </si>
  <si>
    <t>Sản phẩm phần mềm</t>
  </si>
  <si>
    <t>công nhóm/ phần mềm</t>
  </si>
  <si>
    <t>Tài liệu về đào tạo và truyền thông (dạng giấy và số)</t>
  </si>
  <si>
    <t>Băng đĩa hình, đĩa tiếng (DVD, CD, VCD, băng từ)</t>
  </si>
  <si>
    <t>công nhóm/đĩa</t>
  </si>
  <si>
    <t>1.8</t>
  </si>
  <si>
    <t>Đĩa CD-ROM lưu sản phẩm dạng số</t>
  </si>
  <si>
    <t>Kiểm tra TLMT</t>
  </si>
  <si>
    <t>công nhóm/  phần mềm</t>
  </si>
  <si>
    <t>2.8</t>
  </si>
  <si>
    <t>Bàn giao kho lưu trữ tư liệu môi trường</t>
  </si>
  <si>
    <t>3.3</t>
  </si>
  <si>
    <t>Cơ sở dữ liệu</t>
  </si>
  <si>
    <t>Lập báo cáo kết quả thu nhận, kiểm tra TLMT</t>
  </si>
  <si>
    <t>4.1</t>
  </si>
  <si>
    <t>4.2</t>
  </si>
  <si>
    <t>4.3</t>
  </si>
  <si>
    <t>4.4</t>
  </si>
  <si>
    <t>4.5</t>
  </si>
  <si>
    <t>4.6</t>
  </si>
  <si>
    <t>4.7</t>
  </si>
  <si>
    <t>4.8</t>
  </si>
  <si>
    <t>công nhóm/ bộ tài liệu</t>
  </si>
  <si>
    <t>Nhóm 3 (1KTV4+1KS1+1KS2)</t>
  </si>
  <si>
    <t>Nhóm 2 (KS1+KS4)</t>
  </si>
  <si>
    <t>Nhóm 5 (2KTV4+1KS1+2KS2)</t>
  </si>
  <si>
    <t>Nhóm 2 (KS2+KS4)</t>
  </si>
  <si>
    <t>công nhóm/bộ tài liệu</t>
  </si>
  <si>
    <t>A</t>
  </si>
  <si>
    <t>BẢO QUẢN VÀ CUNG CẤP TƯ LIỆU MÔI TRƯỜNG</t>
  </si>
  <si>
    <t>Bảo quản kho tư liệu môi trường</t>
  </si>
  <si>
    <t>Bảo quản TLMT</t>
  </si>
  <si>
    <t>Bảo quản tư liệu dạng giấy</t>
  </si>
  <si>
    <t>Sắp xếp tư liệu</t>
  </si>
  <si>
    <t>2.1.3</t>
  </si>
  <si>
    <t>Phục chế tư liệu</t>
  </si>
  <si>
    <t>công nhóm/trang A4</t>
  </si>
  <si>
    <t>2.1.4</t>
  </si>
  <si>
    <t>Quét TLMT chưa có ở định dạng số</t>
  </si>
  <si>
    <t>2.1.4.1</t>
  </si>
  <si>
    <t>Quét báo cáo</t>
  </si>
  <si>
    <t>2.1.4.2</t>
  </si>
  <si>
    <t>Quét bản đồ</t>
  </si>
  <si>
    <t>công nhóm/mảnh</t>
  </si>
  <si>
    <t>Bảo quản tư liệu số</t>
  </si>
  <si>
    <t>2.2.1</t>
  </si>
  <si>
    <t>công nhóm/100 đĩa</t>
  </si>
  <si>
    <t>2.2.2</t>
  </si>
  <si>
    <t>2.2.3</t>
  </si>
  <si>
    <t>Sao lưu tư liệu số</t>
  </si>
  <si>
    <t>công nhóm/10 đĩa</t>
  </si>
  <si>
    <t>2.2.4</t>
  </si>
  <si>
    <t>Gán mã và chuyển tư liệu vào bộ SAN</t>
  </si>
  <si>
    <t>công nhóm/tư liệu</t>
  </si>
  <si>
    <t>2.2.5</t>
  </si>
  <si>
    <t>Tu bổ, phục chế tư liệu bị hư hỏng</t>
  </si>
  <si>
    <t>Cập nhật thư mục tư liệu</t>
  </si>
  <si>
    <t>Cập nhật trên giấy</t>
  </si>
  <si>
    <t>công nhóm/lần</t>
  </si>
  <si>
    <t>Cập nhật trên phần mềm tra cứu</t>
  </si>
  <si>
    <t xml:space="preserve">Cập nhật trên mạng thông tin nội bộ </t>
  </si>
  <si>
    <t xml:space="preserve">Lập báo cáo </t>
  </si>
  <si>
    <t>công nhóm/báo cáo</t>
  </si>
  <si>
    <t>Cung cấp TLMT</t>
  </si>
  <si>
    <t>Làm thủ tục</t>
  </si>
  <si>
    <t>Chuẩn bị tư liệu</t>
  </si>
  <si>
    <t>Giao tư liệu</t>
  </si>
  <si>
    <t>Lập báo cáo kết quả cung cấp</t>
  </si>
  <si>
    <t xml:space="preserve">B </t>
  </si>
  <si>
    <t>Nhóm 2 (1KTV1+1KS2)</t>
  </si>
  <si>
    <t>công nhóm/100 trang A4</t>
  </si>
  <si>
    <t>Nhóm 2 (KTV1+KS4)</t>
  </si>
  <si>
    <t>C</t>
  </si>
  <si>
    <t>CÔNG TÁC THƯ VIỆN MÔI TRƯỜNG</t>
  </si>
  <si>
    <t>Bảo quản kho tài liệu thư viện</t>
  </si>
  <si>
    <t>Kiểm tra an toàn kho</t>
  </si>
  <si>
    <t>Vệ sinh kho</t>
  </si>
  <si>
    <t>Đăng ký tài liệu</t>
  </si>
  <si>
    <t>Theo dõi tư liệu</t>
  </si>
  <si>
    <t>Thống kê tài liệu</t>
  </si>
  <si>
    <t>Phục chế nhỏ tài liệu</t>
  </si>
  <si>
    <t xml:space="preserve"> Bổ sung tài liệu thư viện</t>
  </si>
  <si>
    <t>Tổng hợp yêu cầu bổ sung tài liệu</t>
  </si>
  <si>
    <t>Trình duyệt</t>
  </si>
  <si>
    <t>Bổ sung tài liệu</t>
  </si>
  <si>
    <t>Nhập kho lưu trữ</t>
  </si>
  <si>
    <t>công nhóm/tài liệu</t>
  </si>
  <si>
    <t>Tổ chức, cho mượn sách</t>
  </si>
  <si>
    <t>Vệ sinh, trật tự thư viện</t>
  </si>
  <si>
    <t>Lưu hồ sơ</t>
  </si>
  <si>
    <t>Quản lý bạn đọc thư viện</t>
  </si>
  <si>
    <t>Tổng hợp thông tin</t>
  </si>
  <si>
    <t>Cập nhật thông tin</t>
  </si>
  <si>
    <t>Quản lý việc sử dụng tài liệu</t>
  </si>
  <si>
    <t>Hoàn thiện, lưu hồ sơ bạn đọc</t>
  </si>
  <si>
    <t>Lưu và bảo quản hồ sơ lưu</t>
  </si>
  <si>
    <t>Nhóm 2 KTV4</t>
  </si>
  <si>
    <t>KTV 1</t>
  </si>
  <si>
    <t>Kỹ sư 1</t>
  </si>
  <si>
    <t>Nhóm 2KTV4</t>
  </si>
  <si>
    <t>QUẢN LÝ THÔNG TIN  TƯ LIỆU VỀ MÔI TRƯỜNG</t>
  </si>
  <si>
    <t>Danh mục dụng cụ</t>
  </si>
  <si>
    <t>ĐVT</t>
  </si>
  <si>
    <t>Thời hạn (tháng)</t>
  </si>
  <si>
    <t>Đơn giá</t>
  </si>
  <si>
    <t>Đơn
 giá/ca</t>
  </si>
  <si>
    <t>Định mức</t>
  </si>
  <si>
    <t>Thành tiền</t>
  </si>
  <si>
    <t xml:space="preserve">Áo BHLĐ </t>
  </si>
  <si>
    <t>cái</t>
  </si>
  <si>
    <t>Dép đi trong phòng</t>
  </si>
  <si>
    <t>đôi</t>
  </si>
  <si>
    <t>Bàn dập ghim loại nhỏ</t>
  </si>
  <si>
    <t>Bàn dập ghim loại lớn</t>
  </si>
  <si>
    <t xml:space="preserve">Bàn làm việc </t>
  </si>
  <si>
    <t>Ghế xoay</t>
  </si>
  <si>
    <t>Bút bi</t>
  </si>
  <si>
    <t>Bút chì</t>
  </si>
  <si>
    <t>Tẩy</t>
  </si>
  <si>
    <t>USB</t>
  </si>
  <si>
    <t xml:space="preserve">Đồng hồ treo tư­ờng </t>
  </si>
  <si>
    <t>Kéo cắt giấy</t>
  </si>
  <si>
    <t xml:space="preserve">Giá để tài liệu </t>
  </si>
  <si>
    <t>Tủ đựng tài liệu</t>
  </si>
  <si>
    <t>Thư­ớc nhựa 1m</t>
  </si>
  <si>
    <t>Xô nhựa 10 lít</t>
  </si>
  <si>
    <t>Lưu điện 600W</t>
  </si>
  <si>
    <t>Chuột máy tính</t>
  </si>
  <si>
    <t>Bàn phím máy tính</t>
  </si>
  <si>
    <t>Phai kẹp tài liệu (3cm)</t>
  </si>
  <si>
    <t>Kẹp càng cua lưu tài liệu</t>
  </si>
  <si>
    <t>Đèn neon 40W</t>
  </si>
  <si>
    <t>bộ</t>
  </si>
  <si>
    <t>Máy hút ẩm 2 kW</t>
  </si>
  <si>
    <t>Máy hút bụi 1,5 kW</t>
  </si>
  <si>
    <t>Máy tính tay</t>
  </si>
  <si>
    <t>Ổn áp 4KA</t>
  </si>
  <si>
    <t>Quạt thông gió 40W</t>
  </si>
  <si>
    <t>Quạt trần 100W</t>
  </si>
  <si>
    <t>Điện năng</t>
  </si>
  <si>
    <t>kW</t>
  </si>
  <si>
    <t>ca/quyển</t>
  </si>
  <si>
    <t>ca/mảnh</t>
  </si>
  <si>
    <t>ca/nhóm lớp</t>
  </si>
  <si>
    <t>ca/phần mềm</t>
  </si>
  <si>
    <t>ca/bộ tài liệu</t>
  </si>
  <si>
    <t>ca/đĩa</t>
  </si>
  <si>
    <t>Bàn giao TLMT</t>
  </si>
  <si>
    <t>TT</t>
  </si>
  <si>
    <t>Công việc</t>
  </si>
  <si>
    <t>Hệ số</t>
  </si>
  <si>
    <t>Cộng (có 5% hao hụt dụng cụ nhỏ)</t>
  </si>
  <si>
    <t>TỔNG HỢP ĐƠN GIÁ DỤNG CỤ THU NHẬN, KiỂM TRA VÀ BÀN GIAO TƯ LiỆU MÔI TRƯỜNG</t>
  </si>
  <si>
    <t>THUYẾT MINH BẢNG TÍNH ĐƠN GIÁ VỀ TƯ LiỆU MÔI TRƯỜNG</t>
  </si>
  <si>
    <t>BẢNG TÍNH ĐƠN GIÁ DỤNG CỤ THU NHẬN, KiỂM TRA, BÀN GIAO TƯ LiỆU MÔI TRƯỜNG</t>
  </si>
  <si>
    <t>Mức</t>
  </si>
  <si>
    <t>Áo BHLĐ</t>
  </si>
  <si>
    <t>Bàn làm việc</t>
  </si>
  <si>
    <t>Lưu điện 600w</t>
  </si>
  <si>
    <t>Máy hút bụi 1.5 kW</t>
  </si>
  <si>
    <t>Ổn áp 4kA</t>
  </si>
  <si>
    <t>Cộng (có 5% hao hụt công cụ nhỏ)</t>
  </si>
  <si>
    <t>Đơn giá/ca</t>
  </si>
  <si>
    <t>BẢNG TÍNH ĐƠN GIÁ THIẾT BỊ VỀ THU NHẬN, KiỂM TRA, BÀN GIAO, LẬP BÁO CÁO VỀ TƯ LiỆU MÔI TRƯỜNG</t>
  </si>
  <si>
    <t>Danh mục thiết bị</t>
  </si>
  <si>
    <t>Công suất</t>
  </si>
  <si>
    <t>Báo cáo tổng kết</t>
  </si>
  <si>
    <t>Máy điều hòa</t>
  </si>
  <si>
    <t>1.1.2</t>
  </si>
  <si>
    <t>Máy quét tài liệu</t>
  </si>
  <si>
    <t>1.1.3</t>
  </si>
  <si>
    <t>Máy vi tính PC</t>
  </si>
  <si>
    <t>1.1.4</t>
  </si>
  <si>
    <t>Máy photocopy</t>
  </si>
  <si>
    <t>1.1.5</t>
  </si>
  <si>
    <t>Máy in Laser A4</t>
  </si>
  <si>
    <t>1.1.6</t>
  </si>
  <si>
    <t>Máy chủ</t>
  </si>
  <si>
    <t>1.1.7</t>
  </si>
  <si>
    <t>Báo cáo chuyên đề và các báo cáo khác</t>
  </si>
  <si>
    <t>0,10 mức 1.1</t>
  </si>
  <si>
    <t>Bản đồ dạng giấy và số</t>
  </si>
  <si>
    <t>0,20 mức 1.1</t>
  </si>
  <si>
    <t>0,50 mức 1.1</t>
  </si>
  <si>
    <t>như 1.1</t>
  </si>
  <si>
    <t>Băng đĩa hình, đĩa tiếng</t>
  </si>
  <si>
    <t>2.1.5</t>
  </si>
  <si>
    <t>0,07 mức 2.1</t>
  </si>
  <si>
    <t>1,25 mức 2.1</t>
  </si>
  <si>
    <t>3,12 mức 2.1</t>
  </si>
  <si>
    <t>0,25 mức 2.1</t>
  </si>
  <si>
    <t>Lập báo cáo kết quả kiểm tra, thu nhận TLMT</t>
  </si>
  <si>
    <t>như mức 3.1</t>
  </si>
  <si>
    <t>ca/ bộ tài liệu</t>
  </si>
  <si>
    <t>10,00 mức 3.1</t>
  </si>
  <si>
    <t>2,00 mức 3.1</t>
  </si>
  <si>
    <t>Lập báo cáo kết quả</t>
  </si>
  <si>
    <t>4.1.1</t>
  </si>
  <si>
    <t>4.1.2</t>
  </si>
  <si>
    <t>4.1.3</t>
  </si>
  <si>
    <t>4.1.4</t>
  </si>
  <si>
    <t>4.1.5</t>
  </si>
  <si>
    <t>0,75 mức 4.1</t>
  </si>
  <si>
    <t>1,50 mức 4.1</t>
  </si>
  <si>
    <t>7,50 mức 4.1</t>
  </si>
  <si>
    <t>Thời gian</t>
  </si>
  <si>
    <t>Nguyên
 giá</t>
  </si>
  <si>
    <t>Mức khấu 
hao 1 ca</t>
  </si>
  <si>
    <t>1.2.2</t>
  </si>
  <si>
    <t>1.2.3</t>
  </si>
  <si>
    <t>1.2.4</t>
  </si>
  <si>
    <t>1.2.5</t>
  </si>
  <si>
    <t>1.2.6</t>
  </si>
  <si>
    <t>1.2.7</t>
  </si>
  <si>
    <t>1.4.1</t>
  </si>
  <si>
    <t>1.4.2</t>
  </si>
  <si>
    <t>1.4.3</t>
  </si>
  <si>
    <t>1.4.4</t>
  </si>
  <si>
    <t>1.4.5</t>
  </si>
  <si>
    <t>1.4.6</t>
  </si>
  <si>
    <t>1.4.7</t>
  </si>
  <si>
    <t>1.5.5</t>
  </si>
  <si>
    <t>1.5.6</t>
  </si>
  <si>
    <t>1.5.7</t>
  </si>
  <si>
    <t>1.6.1</t>
  </si>
  <si>
    <t>1.6.2</t>
  </si>
  <si>
    <t>1.6.3</t>
  </si>
  <si>
    <t>1.6.4</t>
  </si>
  <si>
    <t>1.6.5</t>
  </si>
  <si>
    <t>1.6.6</t>
  </si>
  <si>
    <t>1.6.7</t>
  </si>
  <si>
    <t>1.7.1</t>
  </si>
  <si>
    <t>1.7.2</t>
  </si>
  <si>
    <t>1.7.3</t>
  </si>
  <si>
    <t>1.7.4</t>
  </si>
  <si>
    <t>1.7.5</t>
  </si>
  <si>
    <t>1.7.6</t>
  </si>
  <si>
    <t>1.7.7</t>
  </si>
  <si>
    <t>1.8.1</t>
  </si>
  <si>
    <t>1.8.2</t>
  </si>
  <si>
    <t>1.8.3</t>
  </si>
  <si>
    <t>1.8.4</t>
  </si>
  <si>
    <t>1.8.5</t>
  </si>
  <si>
    <t>1.8.6</t>
  </si>
  <si>
    <t>1.8.7</t>
  </si>
  <si>
    <t>2.4.1</t>
  </si>
  <si>
    <t>2.4.2</t>
  </si>
  <si>
    <t>2.4.3</t>
  </si>
  <si>
    <t>2.4.4</t>
  </si>
  <si>
    <t>2.4.5</t>
  </si>
  <si>
    <t>2.5.5</t>
  </si>
  <si>
    <t>2.6.1</t>
  </si>
  <si>
    <t>2.6.2</t>
  </si>
  <si>
    <t>2.6.3</t>
  </si>
  <si>
    <t>2.6.4</t>
  </si>
  <si>
    <t>2.6.5</t>
  </si>
  <si>
    <t>2.7.4</t>
  </si>
  <si>
    <t>2.7.5</t>
  </si>
  <si>
    <t>2.8.1</t>
  </si>
  <si>
    <t>2.8.2</t>
  </si>
  <si>
    <t>2.8.3</t>
  </si>
  <si>
    <t>2.8.4</t>
  </si>
  <si>
    <t>2.8.5</t>
  </si>
  <si>
    <t>3.3.1</t>
  </si>
  <si>
    <t>3.3.2</t>
  </si>
  <si>
    <t>3.3.3</t>
  </si>
  <si>
    <t>3.3.4</t>
  </si>
  <si>
    <t>3.3.5</t>
  </si>
  <si>
    <t>3.4.1</t>
  </si>
  <si>
    <t>3.4.2</t>
  </si>
  <si>
    <t>3.4.3</t>
  </si>
  <si>
    <t>3.4.4</t>
  </si>
  <si>
    <t>3.4.5</t>
  </si>
  <si>
    <t>3.5.1</t>
  </si>
  <si>
    <t>3.5.2</t>
  </si>
  <si>
    <t>3.5.3</t>
  </si>
  <si>
    <t>3.5.4</t>
  </si>
  <si>
    <t>3.5.5</t>
  </si>
  <si>
    <t>3.6.1</t>
  </si>
  <si>
    <t>3.6.2</t>
  </si>
  <si>
    <t>3.6.3</t>
  </si>
  <si>
    <t>3.6.4</t>
  </si>
  <si>
    <t>3.6.5</t>
  </si>
  <si>
    <t>3.7.1</t>
  </si>
  <si>
    <t>3.7.2</t>
  </si>
  <si>
    <t>3.7.3</t>
  </si>
  <si>
    <t>3.7.4</t>
  </si>
  <si>
    <t>3.7.5</t>
  </si>
  <si>
    <t>3.8.1</t>
  </si>
  <si>
    <t>3.8.2</t>
  </si>
  <si>
    <t>3.8.3</t>
  </si>
  <si>
    <t>3.8.4</t>
  </si>
  <si>
    <t>3.8.5</t>
  </si>
  <si>
    <t>4.2.1</t>
  </si>
  <si>
    <t>4.2.2</t>
  </si>
  <si>
    <t>4.2.3</t>
  </si>
  <si>
    <t>4.2.4</t>
  </si>
  <si>
    <t>4.2.5</t>
  </si>
  <si>
    <t>4.3.1</t>
  </si>
  <si>
    <t>4.3.2</t>
  </si>
  <si>
    <t>4.3.3</t>
  </si>
  <si>
    <t>4.3.4</t>
  </si>
  <si>
    <t>4.3.5</t>
  </si>
  <si>
    <t>4.4.1</t>
  </si>
  <si>
    <t>4.4.2</t>
  </si>
  <si>
    <t>4.4.3</t>
  </si>
  <si>
    <t>4.4.4</t>
  </si>
  <si>
    <t>4.4.5</t>
  </si>
  <si>
    <t>4.5.1</t>
  </si>
  <si>
    <t>4.5.2</t>
  </si>
  <si>
    <t>4.5.3</t>
  </si>
  <si>
    <t>4.5.4</t>
  </si>
  <si>
    <t>4.5.5</t>
  </si>
  <si>
    <t>4.6.1</t>
  </si>
  <si>
    <t>4.6.2</t>
  </si>
  <si>
    <t>4.6.3</t>
  </si>
  <si>
    <t>4.6.4</t>
  </si>
  <si>
    <t>4.6.5</t>
  </si>
  <si>
    <t>4.7.1</t>
  </si>
  <si>
    <t>4.7.2</t>
  </si>
  <si>
    <t>4.7.3</t>
  </si>
  <si>
    <t>4.7.4</t>
  </si>
  <si>
    <t>4.7.5</t>
  </si>
  <si>
    <t>4.8.1</t>
  </si>
  <si>
    <t>4.8.2</t>
  </si>
  <si>
    <t>4.8.3</t>
  </si>
  <si>
    <t>4.8.4</t>
  </si>
  <si>
    <t>4.8.5</t>
  </si>
  <si>
    <r>
      <t>công nhóm/kho 50m</t>
    </r>
    <r>
      <rPr>
        <vertAlign val="superscript"/>
        <sz val="10"/>
        <rFont val="Arial"/>
        <family val="2"/>
      </rPr>
      <t>2</t>
    </r>
  </si>
  <si>
    <r>
      <t>công nhóm/m</t>
    </r>
    <r>
      <rPr>
        <vertAlign val="superscript"/>
        <sz val="10"/>
        <rFont val="Arial"/>
        <family val="2"/>
      </rPr>
      <t>3</t>
    </r>
  </si>
  <si>
    <r>
      <t>công nhóm/50m</t>
    </r>
    <r>
      <rPr>
        <vertAlign val="superscript"/>
        <sz val="10"/>
        <rFont val="Arial"/>
        <family val="2"/>
      </rPr>
      <t>2</t>
    </r>
  </si>
  <si>
    <t>Xử lý thông báo</t>
  </si>
  <si>
    <t>Tiếp nhận TLMT</t>
  </si>
  <si>
    <t>Cấp giấy chứng nhận giao, nộp TLMT</t>
  </si>
  <si>
    <t>Thu nhận, kiểm tra tư liệu môi trường</t>
  </si>
  <si>
    <t>B</t>
  </si>
  <si>
    <t>Lập báo cáo</t>
  </si>
  <si>
    <t>Ca/ quyển</t>
  </si>
  <si>
    <t>Thành tiền 
(đồng)</t>
  </si>
  <si>
    <t>Danh mục vật liệu</t>
  </si>
  <si>
    <t>Ghim dập</t>
  </si>
  <si>
    <t>hộp</t>
  </si>
  <si>
    <t>Ghim vòng</t>
  </si>
  <si>
    <t>Kẹp sắt đen 25mm</t>
  </si>
  <si>
    <t>Giấy A4</t>
  </si>
  <si>
    <t>ram</t>
  </si>
  <si>
    <t>Băng dính 5cm</t>
  </si>
  <si>
    <t>cuộn</t>
  </si>
  <si>
    <t>Mực in A4</t>
  </si>
  <si>
    <t>Mực photocopy</t>
  </si>
  <si>
    <t>Dây buộc</t>
  </si>
  <si>
    <t>Giấy đánh dấu trang</t>
  </si>
  <si>
    <t>tập</t>
  </si>
  <si>
    <t>Giấy nhớ</t>
  </si>
  <si>
    <t>Dây chun vòng to</t>
  </si>
  <si>
    <t>gói</t>
  </si>
  <si>
    <t>Mực dấu</t>
  </si>
  <si>
    <t>Túi đựng tài liệu</t>
  </si>
  <si>
    <t>Nhãn</t>
  </si>
  <si>
    <t>Kiểm tra</t>
  </si>
  <si>
    <t>Bàn giao</t>
  </si>
  <si>
    <t>Cộng (có 8% hao hụt)</t>
  </si>
  <si>
    <t>Danh mục công việc</t>
  </si>
  <si>
    <t>Danh mục tài liệu</t>
  </si>
  <si>
    <t>Thư­ớc nhựa 60 cm</t>
  </si>
  <si>
    <t>Kẹp càng cua (lưu tài liệu)</t>
  </si>
  <si>
    <t>Đèn chiếu sáng 40W</t>
  </si>
  <si>
    <t>BẢNG TÍNH ĐƠN GIÁ DỤNG CỤ LẬP BÁO CÁO KẾT QUẢ THU NHẬN , KiỂM TRA TƯ LiỆU MÔI TRƯỜNG</t>
  </si>
  <si>
    <t>Bảo quản và cung cấp TLMT</t>
  </si>
  <si>
    <t>Bảo quản tư liệu giấy</t>
  </si>
  <si>
    <t>ca/trang A4</t>
  </si>
  <si>
    <t>ca/100 trang A4</t>
  </si>
  <si>
    <t>ca/100 đĩa</t>
  </si>
  <si>
    <t>ca/10 đĩa</t>
  </si>
  <si>
    <t>ca/tư liệu</t>
  </si>
  <si>
    <t>Tu bổ, khắc phục tư liệu bị hư hỏng</t>
  </si>
  <si>
    <t>ca/lần</t>
  </si>
  <si>
    <t>ca/báo cáo</t>
  </si>
  <si>
    <r>
      <t>ca/kho 50m</t>
    </r>
    <r>
      <rPr>
        <vertAlign val="superscript"/>
        <sz val="10"/>
        <rFont val="Arial"/>
        <family val="2"/>
      </rPr>
      <t>2</t>
    </r>
  </si>
  <si>
    <r>
      <t>ca/m</t>
    </r>
    <r>
      <rPr>
        <vertAlign val="superscript"/>
        <sz val="10"/>
        <rFont val="Arial"/>
        <family val="2"/>
      </rPr>
      <t>3</t>
    </r>
  </si>
  <si>
    <t>Thiết bị</t>
  </si>
  <si>
    <t>Công suất (tháng)</t>
  </si>
  <si>
    <t>Máy điều hoà</t>
  </si>
  <si>
    <t>ca/100 A4</t>
  </si>
  <si>
    <t>1.4.1.1</t>
  </si>
  <si>
    <t>Máy quét</t>
  </si>
  <si>
    <t>1.4.1.2</t>
  </si>
  <si>
    <t>Máy vi tính</t>
  </si>
  <si>
    <t>1.4.1.3</t>
  </si>
  <si>
    <t>Đầu ghi đĩa CD-ROM</t>
  </si>
  <si>
    <t>1.4.1.4</t>
  </si>
  <si>
    <t>1.4.1.5</t>
  </si>
  <si>
    <t>1.4.2.1</t>
  </si>
  <si>
    <t>Máy vi  tính</t>
  </si>
  <si>
    <t>1.4.2.2</t>
  </si>
  <si>
    <t>1.4.2.3</t>
  </si>
  <si>
    <t>c ái</t>
  </si>
  <si>
    <t>1.4.2.4</t>
  </si>
  <si>
    <t>1.4.2.5</t>
  </si>
  <si>
    <t>Cập nhật trên phần mềm</t>
  </si>
  <si>
    <t>Máy in laser A4</t>
  </si>
  <si>
    <t>Nguyên giá</t>
  </si>
  <si>
    <r>
      <t>ca/kho 50m</t>
    </r>
    <r>
      <rPr>
        <vertAlign val="superscript"/>
        <sz val="10"/>
        <color indexed="10"/>
        <rFont val="Arial"/>
        <family val="2"/>
      </rPr>
      <t>2</t>
    </r>
  </si>
  <si>
    <t xml:space="preserve">ĐVT </t>
  </si>
  <si>
    <t>Nhân bản tư liệu</t>
  </si>
  <si>
    <t>Điều hòa</t>
  </si>
  <si>
    <t>Máy in A4</t>
  </si>
  <si>
    <t>BẢNG TÍNH ĐƠN GIÁ THIẾT BỊ VỀ BẢO QuẢN TƯ LiỆU MÔI TRƯỜNG</t>
  </si>
  <si>
    <t>BẢNG TÍNH ĐƠN GIÁ THIẾT BỊ VỀ CUNG CẤP TƯ LiỆU MÔI TRƯỜNG</t>
  </si>
  <si>
    <t>Đơn vị: Ca/lần</t>
  </si>
  <si>
    <t>Mức khấu hao 1 ca</t>
  </si>
  <si>
    <t>BẢNG TÍNH ĐƠN GIÁ VẬT LiỆU VỀ THU NHẬN, KiỂM TRA, BÀN GIAO VÀ LẬP BÁO CÁO VỀ TƯ LiỆU MÔI TRƯỜNG</t>
  </si>
  <si>
    <t>Khăn lau</t>
  </si>
  <si>
    <t>Xà phòng</t>
  </si>
  <si>
    <t>kg</t>
  </si>
  <si>
    <t>Nước máy</t>
  </si>
  <si>
    <t>Thuốc diệt mối</t>
  </si>
  <si>
    <t>Thuốc diệt côn trùng</t>
  </si>
  <si>
    <t>lít</t>
  </si>
  <si>
    <t>Thuốc diệt vi sinh vật</t>
  </si>
  <si>
    <t>Hoá chất tẩy rửa</t>
  </si>
  <si>
    <r>
      <t>m</t>
    </r>
    <r>
      <rPr>
        <vertAlign val="superscript"/>
        <sz val="10"/>
        <rFont val="Arial"/>
        <family val="2"/>
      </rPr>
      <t xml:space="preserve">3 </t>
    </r>
  </si>
  <si>
    <t>Keo dán</t>
  </si>
  <si>
    <t>lọ</t>
  </si>
  <si>
    <t>Mực in</t>
  </si>
  <si>
    <t>Bìa đóng sách</t>
  </si>
  <si>
    <t>Đĩa CD-ROM</t>
  </si>
  <si>
    <t>3.1.2.1</t>
  </si>
  <si>
    <t>Cập nhật thư mục</t>
  </si>
  <si>
    <t>Tu bổ, khắc phục tư liệu</t>
  </si>
  <si>
    <t>Cập nhật thư mục TLMT</t>
  </si>
  <si>
    <t>Cập nhật trên mạng thông tin nội bộ</t>
  </si>
  <si>
    <t>3.1.2.2</t>
  </si>
  <si>
    <t>3.1.2.3</t>
  </si>
  <si>
    <t>Mực máy photocopy</t>
  </si>
  <si>
    <t xml:space="preserve">Cung cấp TLMT </t>
  </si>
  <si>
    <t xml:space="preserve">Làm thủ tục cung cấp </t>
  </si>
  <si>
    <t>Nhân bản tài liệu giấy</t>
  </si>
  <si>
    <t>Ghế cao</t>
  </si>
  <si>
    <t>Dấu thư viện</t>
  </si>
  <si>
    <t>Sổ thư viện</t>
  </si>
  <si>
    <t>quyển</t>
  </si>
  <si>
    <t>Quạt trần 100 W</t>
  </si>
  <si>
    <t>Thống kê danh mục</t>
  </si>
  <si>
    <t>BẢNG TÍNH ĐƠN GIÁ DỤNG CỤ BỔ SUNG TÀI LIỆU</t>
  </si>
  <si>
    <t>Bổ sung tài liệu thư viện</t>
  </si>
  <si>
    <t>ca/tài liệu</t>
  </si>
  <si>
    <t>Vệ sinh, giữ trật tự thư viện</t>
  </si>
  <si>
    <t>Lưu hồ sơ thư viện</t>
  </si>
  <si>
    <r>
      <t>ca/50m</t>
    </r>
    <r>
      <rPr>
        <vertAlign val="superscript"/>
        <sz val="10"/>
        <rFont val="Arial"/>
        <family val="2"/>
      </rPr>
      <t>2</t>
    </r>
  </si>
  <si>
    <t>BẢNG TÍNH ĐƠN GIÁ QUẢN LÝ BẠN ĐỌC THƯ VIỆN</t>
  </si>
  <si>
    <t>Ổn áp 4 kA</t>
  </si>
  <si>
    <t>Tổng hợp thông tin bạn đọc</t>
  </si>
  <si>
    <t>Cập nhật thông tin bạn đọc</t>
  </si>
  <si>
    <t>Quản lý sử dụng tài liệu</t>
  </si>
  <si>
    <t>Thành tiền
 (đồng)</t>
  </si>
  <si>
    <t>Bảo quản kho thư viện</t>
  </si>
  <si>
    <t>BẢNG TÍNH ĐƠN GIÁ VẬT LIỆU KHO TÀI LIỆU THƯ VIỆN</t>
  </si>
  <si>
    <t>Nước</t>
  </si>
  <si>
    <r>
      <t>m</t>
    </r>
    <r>
      <rPr>
        <vertAlign val="superscript"/>
        <sz val="10"/>
        <rFont val="Arial"/>
        <family val="2"/>
      </rPr>
      <t>3</t>
    </r>
  </si>
  <si>
    <t>lần</t>
  </si>
  <si>
    <t>trang A4</t>
  </si>
  <si>
    <r>
      <t>50m</t>
    </r>
    <r>
      <rPr>
        <vertAlign val="superscript"/>
        <sz val="10"/>
        <rFont val="Arial"/>
        <family val="2"/>
      </rPr>
      <t>2</t>
    </r>
  </si>
  <si>
    <t>BẢNG TÍNH ĐƠN GIÁ BỔ SUNG TÀI LIỆU THƯ VIỆN</t>
  </si>
  <si>
    <t xml:space="preserve">Nhãn </t>
  </si>
  <si>
    <t>tài liệu</t>
  </si>
  <si>
    <t>Vệ sinh, trật tự</t>
  </si>
  <si>
    <t>ĐƠN GIÁ TỪNG NỘI DUNG CÔNG VIỆC</t>
  </si>
  <si>
    <t>Hộp ghim vòng</t>
  </si>
  <si>
    <t>Số
TT</t>
  </si>
  <si>
    <t>Tổng cộng (đồng)</t>
  </si>
  <si>
    <t>Dụng cụ (đồng)</t>
  </si>
  <si>
    <t>Thiết bị
(đồng)</t>
  </si>
  <si>
    <t xml:space="preserve"> Vật liệu (đồng)</t>
  </si>
  <si>
    <t>Đơn giá sản phẩm</t>
  </si>
  <si>
    <t>ĐƠN VỊ TÍNH</t>
  </si>
  <si>
    <t>ĐỊNH BIÊN</t>
  </si>
  <si>
    <t>LƯƠNG NGÀY</t>
  </si>
  <si>
    <t>ĐỊNH MỨC</t>
  </si>
  <si>
    <t>THÀNH TIỀN</t>
  </si>
  <si>
    <t>Nhân công
(đồng)</t>
  </si>
  <si>
    <t>THU NHẬN, KIỂM TRA</t>
  </si>
  <si>
    <t>BẢO QUẢN VÀ CUNG CẤP</t>
  </si>
  <si>
    <t>Lần</t>
  </si>
  <si>
    <t>BẢNG TÍNH ĐƠN GIÁ LẬP BÁO CÁO</t>
  </si>
  <si>
    <t>Kho</t>
  </si>
  <si>
    <t>100 trang A4</t>
  </si>
  <si>
    <t>100 đĩa</t>
  </si>
  <si>
    <t>10 đĩa</t>
  </si>
  <si>
    <t>tư liệu</t>
  </si>
  <si>
    <t>báo cáo</t>
  </si>
  <si>
    <t>50m2</t>
  </si>
  <si>
    <t>m3</t>
  </si>
  <si>
    <t>BẢNG TÍNH ĐƠN GIÁ CUNG CẤP TƯ LIỆU MÔI TRƯỜNG</t>
  </si>
  <si>
    <t>BẢNG TÍNH ĐƠN GIÁ VẬT LIỆU BẢO QUẢN KHO</t>
  </si>
  <si>
    <t xml:space="preserve">BẢNG TÍNH ĐƠN GIÁVẬT LIỆU BẢO QUẢN TƯ LIỆU </t>
  </si>
  <si>
    <t>BẢNG TÍNH ĐƠN GIÁ THIẾT BỊ VỀ CÔNG TÁC THƯ VIỆN MÔI TRƯỜNG</t>
  </si>
  <si>
    <t>BẢNG TÍNH ĐƠN GIÁ DỤNG CỤ LƯU VÀ BẢO QUẢN HỒ SƠ LƯU</t>
  </si>
  <si>
    <t>BẢNG TÍNH ĐƠN GIÁ DỤNG CỤ QUẢN LÝ BẠN ĐỌC THƯ VIỆN</t>
  </si>
  <si>
    <t>BẢNG TÍNH ĐƠN GIÁ DỤNG CỤ BẢO QUẢN KHO</t>
  </si>
  <si>
    <t>BẢNG TÍNH ĐƠN GIÁ DỤNG CỤ BẢO QUẢN VÀ CUNG CẤP TƯ LiỆU MÔI TRƯỜNG</t>
  </si>
  <si>
    <t>BHXH, YT, TN &amp; KPCĐ</t>
  </si>
  <si>
    <t>Nhóm 2 (KTV1+KS2)</t>
  </si>
  <si>
    <t>Chi phí chung</t>
  </si>
  <si>
    <t>ỦY BAN NHÂN DÂN</t>
  </si>
  <si>
    <t>TỈNH ĐỒNG NAI</t>
  </si>
  <si>
    <t>CỘNG HÒA XÃ HỘI CHỦ NGHĨA VIỆT NAM</t>
  </si>
  <si>
    <t>Độc lập - Tự do - Hạnh phúc</t>
  </si>
  <si>
    <t>PHỤ LỤC I</t>
  </si>
  <si>
    <t>(Ban hành kèm theo Quyết định số:                    /QĐ-UBND ngày      tháng         năm 2020 của Ủy ban nhân dân tỉnh Đồng Nai)</t>
  </si>
  <si>
    <r>
      <t>m</t>
    </r>
    <r>
      <rPr>
        <vertAlign val="superscript"/>
        <sz val="10"/>
        <rFont val="Times New Roman"/>
        <family val="1"/>
      </rPr>
      <t>3</t>
    </r>
  </si>
  <si>
    <t>ĐƠN GIÁ VỀ TƯ LIỆU MÔI TRƯỜNG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</si>
</sst>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"/>
    <numFmt numFmtId="166" formatCode="0.000"/>
    <numFmt numFmtId="167" formatCode="0.0"/>
    <numFmt numFmtId="168" formatCode="_(* #,##0_);_(* \(#,##0\);_(* &quot;-&quot;??_);_(@_)"/>
    <numFmt numFmtId="169" formatCode="#,##0.0000"/>
    <numFmt numFmtId="170" formatCode="_(* #,##0.0000_);_(* \(#,##0.0000\);_(* &quot;-&quot;??_);_(@_)"/>
    <numFmt numFmtId="171" formatCode="0.0%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_(* #,##0.0_);_(* \(#,##0.0\);_(* &quot;-&quot;??_);_(@_)"/>
    <numFmt numFmtId="179" formatCode="0.000000"/>
    <numFmt numFmtId="180" formatCode="0.00000"/>
    <numFmt numFmtId="181" formatCode="0.00;[Red]0.00"/>
  </numFmts>
  <fonts count="8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name val="VNI-Times"/>
      <family val="0"/>
    </font>
    <font>
      <b/>
      <sz val="11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vertAlign val="superscript"/>
      <sz val="10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vertAlign val="superscript"/>
      <sz val="10"/>
      <color indexed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i/>
      <sz val="10"/>
      <color indexed="10"/>
      <name val="Arial"/>
      <family val="2"/>
    </font>
    <font>
      <b/>
      <i/>
      <sz val="10"/>
      <color indexed="17"/>
      <name val="Arial"/>
      <family val="2"/>
    </font>
    <font>
      <b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1"/>
      <color indexed="10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i/>
      <sz val="13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i/>
      <sz val="10"/>
      <color rgb="FFFF0000"/>
      <name val="Arial"/>
      <family val="2"/>
    </font>
    <font>
      <b/>
      <i/>
      <sz val="10"/>
      <color rgb="FF00B050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50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vertical="center"/>
    </xf>
    <xf numFmtId="168" fontId="4" fillId="0" borderId="12" xfId="42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3" fontId="11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11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77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3" fontId="16" fillId="0" borderId="12" xfId="57" applyNumberFormat="1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justify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justify" vertical="center" wrapText="1"/>
    </xf>
    <xf numFmtId="3" fontId="14" fillId="0" borderId="12" xfId="0" applyNumberFormat="1" applyFont="1" applyBorder="1" applyAlignment="1">
      <alignment horizontal="center" vertical="center"/>
    </xf>
    <xf numFmtId="3" fontId="13" fillId="0" borderId="12" xfId="57" applyNumberFormat="1" applyFont="1" applyBorder="1" applyAlignment="1">
      <alignment horizontal="center" vertical="center"/>
      <protection/>
    </xf>
    <xf numFmtId="3" fontId="14" fillId="0" borderId="12" xfId="0" applyNumberFormat="1" applyFont="1" applyFill="1" applyBorder="1" applyAlignment="1">
      <alignment horizontal="center" vertical="center"/>
    </xf>
    <xf numFmtId="3" fontId="13" fillId="0" borderId="12" xfId="57" applyNumberFormat="1" applyFont="1" applyBorder="1" applyAlignment="1">
      <alignment vertical="center" wrapText="1"/>
      <protection/>
    </xf>
    <xf numFmtId="3" fontId="13" fillId="0" borderId="12" xfId="57" applyNumberFormat="1" applyFont="1" applyBorder="1" applyAlignment="1">
      <alignment horizontal="center" vertical="center" wrapText="1"/>
      <protection/>
    </xf>
    <xf numFmtId="3" fontId="13" fillId="0" borderId="12" xfId="57" applyNumberFormat="1" applyFont="1" applyBorder="1" applyAlignment="1">
      <alignment vertical="center"/>
      <protection/>
    </xf>
    <xf numFmtId="0" fontId="14" fillId="0" borderId="12" xfId="0" applyFont="1" applyBorder="1" applyAlignment="1">
      <alignment vertical="center"/>
    </xf>
    <xf numFmtId="0" fontId="13" fillId="0" borderId="12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57" applyFont="1" applyBorder="1" applyAlignment="1">
      <alignment vertical="center"/>
      <protection/>
    </xf>
    <xf numFmtId="3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9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3" fillId="0" borderId="0" xfId="0" applyFont="1" applyBorder="1" applyAlignment="1">
      <alignment horizontal="center" vertical="top" wrapText="1"/>
    </xf>
    <xf numFmtId="0" fontId="77" fillId="0" borderId="12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justify" vertical="center" wrapText="1"/>
    </xf>
    <xf numFmtId="0" fontId="77" fillId="0" borderId="12" xfId="0" applyFont="1" applyFill="1" applyBorder="1" applyAlignment="1">
      <alignment vertical="center"/>
    </xf>
    <xf numFmtId="3" fontId="77" fillId="0" borderId="12" xfId="0" applyNumberFormat="1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12" xfId="0" applyFont="1" applyBorder="1" applyAlignment="1">
      <alignment horizontal="center" vertical="center"/>
    </xf>
    <xf numFmtId="0" fontId="78" fillId="0" borderId="12" xfId="0" applyFont="1" applyBorder="1" applyAlignment="1">
      <alignment vertical="center"/>
    </xf>
    <xf numFmtId="0" fontId="77" fillId="0" borderId="12" xfId="0" applyFont="1" applyBorder="1" applyAlignment="1">
      <alignment vertical="center"/>
    </xf>
    <xf numFmtId="0" fontId="78" fillId="0" borderId="10" xfId="0" applyFont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/>
    </xf>
    <xf numFmtId="3" fontId="78" fillId="35" borderId="10" xfId="0" applyNumberFormat="1" applyFont="1" applyFill="1" applyBorder="1" applyAlignment="1">
      <alignment horizontal="center" vertical="center"/>
    </xf>
    <xf numFmtId="0" fontId="77" fillId="35" borderId="0" xfId="0" applyFont="1" applyFill="1" applyBorder="1" applyAlignment="1">
      <alignment vertical="center"/>
    </xf>
    <xf numFmtId="0" fontId="79" fillId="0" borderId="12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justify" vertical="center" wrapText="1"/>
    </xf>
    <xf numFmtId="0" fontId="79" fillId="0" borderId="12" xfId="0" applyFont="1" applyBorder="1" applyAlignment="1">
      <alignment horizontal="center" vertical="center"/>
    </xf>
    <xf numFmtId="0" fontId="79" fillId="0" borderId="12" xfId="0" applyFont="1" applyFill="1" applyBorder="1" applyAlignment="1">
      <alignment vertical="center"/>
    </xf>
    <xf numFmtId="3" fontId="79" fillId="0" borderId="12" xfId="0" applyNumberFormat="1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12" xfId="0" applyFont="1" applyBorder="1" applyAlignment="1">
      <alignment vertical="center" wrapText="1"/>
    </xf>
    <xf numFmtId="3" fontId="79" fillId="0" borderId="12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79" fillId="0" borderId="11" xfId="0" applyFont="1" applyBorder="1" applyAlignment="1">
      <alignment horizontal="center" wrapText="1"/>
    </xf>
    <xf numFmtId="0" fontId="79" fillId="0" borderId="11" xfId="0" applyFont="1" applyBorder="1" applyAlignment="1">
      <alignment horizontal="justify" wrapText="1"/>
    </xf>
    <xf numFmtId="0" fontId="79" fillId="0" borderId="11" xfId="0" applyFont="1" applyBorder="1" applyAlignment="1">
      <alignment horizontal="right" wrapText="1"/>
    </xf>
    <xf numFmtId="3" fontId="79" fillId="0" borderId="11" xfId="0" applyNumberFormat="1" applyFont="1" applyBorder="1" applyAlignment="1">
      <alignment horizontal="right"/>
    </xf>
    <xf numFmtId="3" fontId="79" fillId="0" borderId="11" xfId="0" applyNumberFormat="1" applyFont="1" applyBorder="1" applyAlignment="1">
      <alignment/>
    </xf>
    <xf numFmtId="0" fontId="79" fillId="0" borderId="0" xfId="0" applyFont="1" applyBorder="1" applyAlignment="1">
      <alignment/>
    </xf>
    <xf numFmtId="0" fontId="77" fillId="0" borderId="12" xfId="0" applyFont="1" applyBorder="1" applyAlignment="1">
      <alignment horizontal="center" wrapText="1"/>
    </xf>
    <xf numFmtId="0" fontId="77" fillId="0" borderId="12" xfId="0" applyFont="1" applyBorder="1" applyAlignment="1">
      <alignment horizontal="justify" wrapText="1"/>
    </xf>
    <xf numFmtId="0" fontId="80" fillId="0" borderId="12" xfId="0" applyFont="1" applyBorder="1" applyAlignment="1">
      <alignment horizontal="center" wrapText="1"/>
    </xf>
    <xf numFmtId="0" fontId="80" fillId="0" borderId="12" xfId="0" applyFont="1" applyBorder="1" applyAlignment="1">
      <alignment horizontal="right" wrapText="1"/>
    </xf>
    <xf numFmtId="3" fontId="77" fillId="0" borderId="12" xfId="0" applyNumberFormat="1" applyFont="1" applyBorder="1" applyAlignment="1">
      <alignment horizontal="right"/>
    </xf>
    <xf numFmtId="0" fontId="77" fillId="0" borderId="0" xfId="0" applyFont="1" applyBorder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justify" wrapText="1"/>
    </xf>
    <xf numFmtId="0" fontId="77" fillId="0" borderId="12" xfId="0" applyFont="1" applyBorder="1" applyAlignment="1">
      <alignment horizontal="right" wrapText="1"/>
    </xf>
    <xf numFmtId="3" fontId="0" fillId="0" borderId="12" xfId="0" applyNumberFormat="1" applyFont="1" applyFill="1" applyBorder="1" applyAlignment="1">
      <alignment horizontal="right" wrapText="1"/>
    </xf>
    <xf numFmtId="3" fontId="0" fillId="0" borderId="12" xfId="0" applyNumberFormat="1" applyFont="1" applyBorder="1" applyAlignment="1">
      <alignment/>
    </xf>
    <xf numFmtId="3" fontId="77" fillId="0" borderId="12" xfId="0" applyNumberFormat="1" applyFont="1" applyFill="1" applyBorder="1" applyAlignment="1">
      <alignment horizontal="right" wrapText="1"/>
    </xf>
    <xf numFmtId="3" fontId="0" fillId="0" borderId="12" xfId="0" applyNumberFormat="1" applyFont="1" applyBorder="1" applyAlignment="1">
      <alignment horizontal="right"/>
    </xf>
    <xf numFmtId="0" fontId="79" fillId="0" borderId="12" xfId="0" applyFont="1" applyBorder="1" applyAlignment="1">
      <alignment horizontal="center" wrapText="1"/>
    </xf>
    <xf numFmtId="0" fontId="79" fillId="0" borderId="12" xfId="0" applyFont="1" applyBorder="1" applyAlignment="1">
      <alignment horizontal="justify" wrapText="1"/>
    </xf>
    <xf numFmtId="0" fontId="79" fillId="0" borderId="12" xfId="0" applyFont="1" applyBorder="1" applyAlignment="1">
      <alignment horizontal="right" wrapText="1"/>
    </xf>
    <xf numFmtId="3" fontId="79" fillId="0" borderId="12" xfId="0" applyNumberFormat="1" applyFont="1" applyBorder="1" applyAlignment="1">
      <alignment horizontal="right"/>
    </xf>
    <xf numFmtId="3" fontId="79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justify" wrapText="1"/>
    </xf>
    <xf numFmtId="0" fontId="77" fillId="0" borderId="13" xfId="0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/>
    </xf>
    <xf numFmtId="0" fontId="11" fillId="0" borderId="0" xfId="60" applyFont="1" applyBorder="1" applyAlignment="1">
      <alignment vertical="center"/>
      <protection/>
    </xf>
    <xf numFmtId="3" fontId="0" fillId="0" borderId="0" xfId="0" applyNumberFormat="1" applyFont="1" applyBorder="1" applyAlignment="1">
      <alignment horizontal="right"/>
    </xf>
    <xf numFmtId="0" fontId="11" fillId="0" borderId="0" xfId="60" applyFont="1" applyBorder="1" applyAlignment="1">
      <alignment horizontal="center" vertical="center"/>
      <protection/>
    </xf>
    <xf numFmtId="0" fontId="77" fillId="0" borderId="0" xfId="0" applyFont="1" applyAlignment="1">
      <alignment/>
    </xf>
    <xf numFmtId="3" fontId="77" fillId="0" borderId="0" xfId="0" applyNumberFormat="1" applyFont="1" applyBorder="1" applyAlignment="1">
      <alignment horizontal="right"/>
    </xf>
    <xf numFmtId="3" fontId="77" fillId="0" borderId="0" xfId="0" applyNumberFormat="1" applyFont="1" applyAlignment="1">
      <alignment/>
    </xf>
    <xf numFmtId="3" fontId="79" fillId="0" borderId="0" xfId="0" applyNumberFormat="1" applyFont="1" applyBorder="1" applyAlignment="1">
      <alignment horizontal="right"/>
    </xf>
    <xf numFmtId="3" fontId="79" fillId="0" borderId="0" xfId="0" applyNumberFormat="1" applyFont="1" applyAlignment="1">
      <alignment/>
    </xf>
    <xf numFmtId="0" fontId="79" fillId="0" borderId="0" xfId="0" applyFont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 vertical="top" wrapText="1"/>
    </xf>
    <xf numFmtId="0" fontId="77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81" fillId="0" borderId="12" xfId="0" applyNumberFormat="1" applyFont="1" applyBorder="1" applyAlignment="1">
      <alignment/>
    </xf>
    <xf numFmtId="3" fontId="1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justify" vertical="center" wrapText="1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justify" vertical="center" wrapText="1"/>
    </xf>
    <xf numFmtId="3" fontId="0" fillId="0" borderId="12" xfId="0" applyNumberFormat="1" applyFont="1" applyBorder="1" applyAlignment="1">
      <alignment vertical="center" wrapText="1"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justify" vertical="center" wrapText="1"/>
    </xf>
    <xf numFmtId="3" fontId="77" fillId="0" borderId="13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0" fontId="11" fillId="36" borderId="10" xfId="0" applyFont="1" applyFill="1" applyBorder="1" applyAlignment="1">
      <alignment vertical="center"/>
    </xf>
    <xf numFmtId="168" fontId="0" fillId="0" borderId="10" xfId="42" applyNumberFormat="1" applyFont="1" applyBorder="1" applyAlignment="1">
      <alignment vertical="center" wrapText="1"/>
    </xf>
    <xf numFmtId="168" fontId="11" fillId="0" borderId="10" xfId="42" applyNumberFormat="1" applyFont="1" applyBorder="1" applyAlignment="1">
      <alignment horizontal="left" vertical="center" wrapText="1"/>
    </xf>
    <xf numFmtId="168" fontId="0" fillId="0" borderId="10" xfId="42" applyNumberFormat="1" applyFont="1" applyBorder="1" applyAlignment="1">
      <alignment horizontal="center"/>
    </xf>
    <xf numFmtId="168" fontId="0" fillId="0" borderId="11" xfId="42" applyNumberFormat="1" applyFont="1" applyBorder="1" applyAlignment="1">
      <alignment vertical="center" wrapText="1"/>
    </xf>
    <xf numFmtId="168" fontId="11" fillId="0" borderId="11" xfId="42" applyNumberFormat="1" applyFont="1" applyBorder="1" applyAlignment="1">
      <alignment horizontal="left" vertical="center" wrapText="1"/>
    </xf>
    <xf numFmtId="168" fontId="77" fillId="0" borderId="11" xfId="42" applyNumberFormat="1" applyFont="1" applyBorder="1" applyAlignment="1">
      <alignment horizontal="center"/>
    </xf>
    <xf numFmtId="178" fontId="77" fillId="0" borderId="11" xfId="42" applyNumberFormat="1" applyFont="1" applyBorder="1" applyAlignment="1">
      <alignment horizontal="center"/>
    </xf>
    <xf numFmtId="168" fontId="0" fillId="0" borderId="11" xfId="42" applyNumberFormat="1" applyFont="1" applyBorder="1" applyAlignment="1">
      <alignment horizontal="center" vertical="center" wrapText="1"/>
    </xf>
    <xf numFmtId="168" fontId="0" fillId="0" borderId="12" xfId="42" applyNumberFormat="1" applyFont="1" applyBorder="1" applyAlignment="1">
      <alignment vertical="center" wrapText="1"/>
    </xf>
    <xf numFmtId="168" fontId="0" fillId="0" borderId="12" xfId="42" applyNumberFormat="1" applyFont="1" applyBorder="1" applyAlignment="1">
      <alignment horizontal="left" vertical="center" wrapText="1"/>
    </xf>
    <xf numFmtId="168" fontId="77" fillId="0" borderId="12" xfId="42" applyNumberFormat="1" applyFont="1" applyBorder="1" applyAlignment="1">
      <alignment horizontal="center"/>
    </xf>
    <xf numFmtId="178" fontId="0" fillId="0" borderId="12" xfId="42" applyNumberFormat="1" applyFont="1" applyBorder="1" applyAlignment="1">
      <alignment horizontal="center" vertical="center" wrapText="1"/>
    </xf>
    <xf numFmtId="168" fontId="79" fillId="0" borderId="12" xfId="42" applyNumberFormat="1" applyFont="1" applyBorder="1" applyAlignment="1">
      <alignment horizontal="center"/>
    </xf>
    <xf numFmtId="168" fontId="11" fillId="0" borderId="12" xfId="42" applyNumberFormat="1" applyFont="1" applyBorder="1" applyAlignment="1">
      <alignment horizontal="left" vertical="center" wrapText="1"/>
    </xf>
    <xf numFmtId="168" fontId="0" fillId="0" borderId="12" xfId="42" applyNumberFormat="1" applyFont="1" applyBorder="1" applyAlignment="1">
      <alignment horizontal="center"/>
    </xf>
    <xf numFmtId="168" fontId="81" fillId="0" borderId="12" xfId="42" applyNumberFormat="1" applyFont="1" applyBorder="1" applyAlignment="1">
      <alignment horizontal="center"/>
    </xf>
    <xf numFmtId="168" fontId="0" fillId="0" borderId="13" xfId="42" applyNumberFormat="1" applyFont="1" applyBorder="1" applyAlignment="1">
      <alignment vertical="center" wrapText="1"/>
    </xf>
    <xf numFmtId="168" fontId="11" fillId="0" borderId="13" xfId="42" applyNumberFormat="1" applyFont="1" applyBorder="1" applyAlignment="1">
      <alignment horizontal="left" vertical="center" wrapText="1"/>
    </xf>
    <xf numFmtId="168" fontId="0" fillId="0" borderId="13" xfId="42" applyNumberFormat="1" applyFont="1" applyBorder="1" applyAlignment="1">
      <alignment horizontal="center"/>
    </xf>
    <xf numFmtId="178" fontId="0" fillId="0" borderId="13" xfId="42" applyNumberFormat="1" applyFont="1" applyBorder="1" applyAlignment="1">
      <alignment horizontal="center" vertical="center" wrapText="1"/>
    </xf>
    <xf numFmtId="168" fontId="77" fillId="0" borderId="13" xfId="42" applyNumberFormat="1" applyFont="1" applyBorder="1" applyAlignment="1">
      <alignment horizontal="center"/>
    </xf>
    <xf numFmtId="0" fontId="12" fillId="36" borderId="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3" fontId="11" fillId="0" borderId="14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justify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justify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justify" wrapText="1"/>
    </xf>
    <xf numFmtId="0" fontId="0" fillId="0" borderId="16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justify" wrapText="1"/>
    </xf>
    <xf numFmtId="3" fontId="11" fillId="0" borderId="10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justify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3" fontId="11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4" fontId="11" fillId="0" borderId="10" xfId="0" applyNumberFormat="1" applyFont="1" applyBorder="1" applyAlignment="1">
      <alignment horizontal="center" wrapText="1"/>
    </xf>
    <xf numFmtId="0" fontId="20" fillId="0" borderId="0" xfId="0" applyFont="1" applyAlignment="1">
      <alignment/>
    </xf>
    <xf numFmtId="0" fontId="78" fillId="0" borderId="10" xfId="0" applyFont="1" applyBorder="1" applyAlignment="1">
      <alignment horizontal="center" wrapText="1"/>
    </xf>
    <xf numFmtId="3" fontId="82" fillId="36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/>
    </xf>
    <xf numFmtId="0" fontId="77" fillId="0" borderId="11" xfId="0" applyFont="1" applyBorder="1" applyAlignment="1">
      <alignment horizontal="center" wrapText="1"/>
    </xf>
    <xf numFmtId="0" fontId="77" fillId="0" borderId="11" xfId="0" applyFont="1" applyBorder="1" applyAlignment="1">
      <alignment wrapText="1"/>
    </xf>
    <xf numFmtId="0" fontId="77" fillId="0" borderId="11" xfId="0" applyFont="1" applyBorder="1" applyAlignment="1">
      <alignment horizontal="center" vertical="top" wrapText="1"/>
    </xf>
    <xf numFmtId="0" fontId="77" fillId="0" borderId="11" xfId="0" applyFont="1" applyBorder="1" applyAlignment="1">
      <alignment/>
    </xf>
    <xf numFmtId="0" fontId="20" fillId="0" borderId="12" xfId="0" applyFont="1" applyBorder="1" applyAlignment="1">
      <alignment horizontal="center" wrapText="1"/>
    </xf>
    <xf numFmtId="0" fontId="20" fillId="0" borderId="12" xfId="0" applyFont="1" applyBorder="1" applyAlignment="1">
      <alignment wrapText="1"/>
    </xf>
    <xf numFmtId="0" fontId="20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/>
    </xf>
    <xf numFmtId="3" fontId="20" fillId="0" borderId="12" xfId="0" applyNumberFormat="1" applyFont="1" applyBorder="1" applyAlignment="1">
      <alignment/>
    </xf>
    <xf numFmtId="0" fontId="77" fillId="0" borderId="12" xfId="0" applyFont="1" applyBorder="1" applyAlignment="1">
      <alignment wrapText="1"/>
    </xf>
    <xf numFmtId="0" fontId="77" fillId="0" borderId="12" xfId="0" applyFont="1" applyBorder="1" applyAlignment="1">
      <alignment horizontal="center" vertical="top" wrapText="1"/>
    </xf>
    <xf numFmtId="0" fontId="77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80" fillId="0" borderId="12" xfId="0" applyFont="1" applyBorder="1" applyAlignment="1">
      <alignment/>
    </xf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wrapText="1"/>
    </xf>
    <xf numFmtId="0" fontId="20" fillId="0" borderId="13" xfId="0" applyFont="1" applyBorder="1" applyAlignment="1">
      <alignment horizontal="center" vertical="top" wrapText="1"/>
    </xf>
    <xf numFmtId="0" fontId="20" fillId="0" borderId="13" xfId="0" applyFont="1" applyBorder="1" applyAlignment="1">
      <alignment/>
    </xf>
    <xf numFmtId="3" fontId="20" fillId="0" borderId="13" xfId="0" applyNumberFormat="1" applyFont="1" applyBorder="1" applyAlignment="1">
      <alignment/>
    </xf>
    <xf numFmtId="0" fontId="20" fillId="0" borderId="0" xfId="0" applyFont="1" applyBorder="1" applyAlignment="1">
      <alignment/>
    </xf>
    <xf numFmtId="3" fontId="11" fillId="0" borderId="11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justify" vertical="center" wrapText="1"/>
    </xf>
    <xf numFmtId="0" fontId="20" fillId="0" borderId="12" xfId="0" applyFont="1" applyBorder="1" applyAlignment="1">
      <alignment vertical="center"/>
    </xf>
    <xf numFmtId="3" fontId="2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0" fontId="80" fillId="0" borderId="12" xfId="0" applyFont="1" applyBorder="1" applyAlignment="1">
      <alignment vertical="center"/>
    </xf>
    <xf numFmtId="3" fontId="20" fillId="0" borderId="12" xfId="0" applyNumberFormat="1" applyFont="1" applyFill="1" applyBorder="1" applyAlignment="1">
      <alignment horizontal="righ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12" xfId="0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vertical="center" wrapText="1"/>
    </xf>
    <xf numFmtId="0" fontId="20" fillId="0" borderId="17" xfId="0" applyFont="1" applyBorder="1" applyAlignment="1">
      <alignment vertical="center"/>
    </xf>
    <xf numFmtId="3" fontId="20" fillId="0" borderId="17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" fillId="36" borderId="10" xfId="0" applyFont="1" applyFill="1" applyBorder="1" applyAlignment="1">
      <alignment vertical="center"/>
    </xf>
    <xf numFmtId="0" fontId="0" fillId="0" borderId="13" xfId="0" applyFont="1" applyBorder="1" applyAlignment="1">
      <alignment horizontal="justify" vertical="center" wrapText="1"/>
    </xf>
    <xf numFmtId="0" fontId="11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justify" vertical="center" wrapText="1"/>
    </xf>
    <xf numFmtId="3" fontId="0" fillId="0" borderId="10" xfId="0" applyNumberFormat="1" applyFont="1" applyBorder="1" applyAlignment="1">
      <alignment vertical="center" wrapText="1"/>
    </xf>
    <xf numFmtId="3" fontId="77" fillId="0" borderId="10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1" fillId="36" borderId="10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3" fontId="11" fillId="0" borderId="10" xfId="0" applyNumberFormat="1" applyFont="1" applyBorder="1" applyAlignment="1">
      <alignment wrapText="1"/>
    </xf>
    <xf numFmtId="3" fontId="11" fillId="0" borderId="10" xfId="0" applyNumberFormat="1" applyFont="1" applyFill="1" applyBorder="1" applyAlignment="1">
      <alignment horizontal="center" wrapText="1"/>
    </xf>
    <xf numFmtId="3" fontId="0" fillId="0" borderId="11" xfId="0" applyNumberFormat="1" applyFont="1" applyBorder="1" applyAlignment="1">
      <alignment horizontal="center" wrapText="1"/>
    </xf>
    <xf numFmtId="3" fontId="0" fillId="0" borderId="11" xfId="0" applyNumberFormat="1" applyFont="1" applyBorder="1" applyAlignment="1">
      <alignment horizontal="justify" wrapText="1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horizontal="right" wrapText="1"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justify" wrapText="1"/>
    </xf>
    <xf numFmtId="3" fontId="0" fillId="0" borderId="13" xfId="0" applyNumberFormat="1" applyFont="1" applyBorder="1" applyAlignment="1">
      <alignment horizontal="center" wrapText="1"/>
    </xf>
    <xf numFmtId="3" fontId="0" fillId="0" borderId="13" xfId="0" applyNumberFormat="1" applyFont="1" applyBorder="1" applyAlignment="1">
      <alignment horizontal="justify" wrapText="1"/>
    </xf>
    <xf numFmtId="3" fontId="0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1" fillId="36" borderId="10" xfId="0" applyNumberFormat="1" applyFont="1" applyFill="1" applyBorder="1" applyAlignment="1">
      <alignment horizontal="center"/>
    </xf>
    <xf numFmtId="3" fontId="11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4" fontId="0" fillId="0" borderId="13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3" fontId="77" fillId="0" borderId="10" xfId="0" applyNumberFormat="1" applyFont="1" applyBorder="1" applyAlignment="1">
      <alignment vertical="center"/>
    </xf>
    <xf numFmtId="0" fontId="77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3" fontId="11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justify" vertical="center" wrapText="1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3" xfId="0" applyFont="1" applyBorder="1" applyAlignment="1">
      <alignment/>
    </xf>
    <xf numFmtId="3" fontId="11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/>
    </xf>
    <xf numFmtId="3" fontId="11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78" fillId="0" borderId="0" xfId="0" applyFont="1" applyAlignment="1">
      <alignment/>
    </xf>
    <xf numFmtId="2" fontId="11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vertical="center" wrapText="1"/>
    </xf>
    <xf numFmtId="2" fontId="20" fillId="0" borderId="12" xfId="0" applyNumberFormat="1" applyFont="1" applyBorder="1" applyAlignment="1">
      <alignment horizontal="center" vertical="center" wrapText="1"/>
    </xf>
    <xf numFmtId="2" fontId="20" fillId="0" borderId="12" xfId="0" applyNumberFormat="1" applyFont="1" applyBorder="1" applyAlignment="1">
      <alignment vertical="center" wrapText="1"/>
    </xf>
    <xf numFmtId="2" fontId="0" fillId="0" borderId="12" xfId="0" applyNumberFormat="1" applyFont="1" applyBorder="1" applyAlignment="1">
      <alignment horizontal="justify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20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1" fillId="0" borderId="10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/>
    </xf>
    <xf numFmtId="1" fontId="20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3" fontId="20" fillId="0" borderId="10" xfId="0" applyNumberFormat="1" applyFont="1" applyBorder="1" applyAlignment="1">
      <alignment/>
    </xf>
    <xf numFmtId="3" fontId="11" fillId="36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/>
    </xf>
    <xf numFmtId="0" fontId="11" fillId="0" borderId="18" xfId="0" applyFont="1" applyFill="1" applyBorder="1" applyAlignment="1">
      <alignment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3" fontId="11" fillId="36" borderId="13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8" fillId="35" borderId="10" xfId="0" applyFont="1" applyFill="1" applyBorder="1" applyAlignment="1">
      <alignment vertical="center"/>
    </xf>
    <xf numFmtId="0" fontId="77" fillId="0" borderId="12" xfId="0" applyFont="1" applyBorder="1" applyAlignment="1">
      <alignment horizontal="justify" vertical="center" wrapText="1"/>
    </xf>
    <xf numFmtId="0" fontId="77" fillId="0" borderId="11" xfId="0" applyFont="1" applyBorder="1" applyAlignment="1">
      <alignment horizontal="justify" vertical="center" wrapText="1"/>
    </xf>
    <xf numFmtId="1" fontId="78" fillId="0" borderId="12" xfId="0" applyNumberFormat="1" applyFont="1" applyBorder="1" applyAlignment="1">
      <alignment horizontal="center" vertical="center" wrapText="1"/>
    </xf>
    <xf numFmtId="2" fontId="78" fillId="0" borderId="12" xfId="0" applyNumberFormat="1" applyFont="1" applyBorder="1" applyAlignment="1">
      <alignment vertical="center" wrapText="1"/>
    </xf>
    <xf numFmtId="2" fontId="78" fillId="0" borderId="12" xfId="0" applyNumberFormat="1" applyFont="1" applyBorder="1" applyAlignment="1">
      <alignment horizontal="center" vertical="center" wrapText="1"/>
    </xf>
    <xf numFmtId="1" fontId="78" fillId="0" borderId="12" xfId="0" applyNumberFormat="1" applyFont="1" applyBorder="1" applyAlignment="1">
      <alignment horizontal="center"/>
    </xf>
    <xf numFmtId="3" fontId="83" fillId="0" borderId="12" xfId="0" applyNumberFormat="1" applyFont="1" applyBorder="1" applyAlignment="1">
      <alignment/>
    </xf>
    <xf numFmtId="2" fontId="78" fillId="0" borderId="12" xfId="0" applyNumberFormat="1" applyFont="1" applyBorder="1" applyAlignment="1">
      <alignment horizontal="justify" vertical="center" wrapText="1"/>
    </xf>
    <xf numFmtId="1" fontId="78" fillId="0" borderId="11" xfId="0" applyNumberFormat="1" applyFont="1" applyBorder="1" applyAlignment="1">
      <alignment horizontal="center" vertical="center" wrapText="1"/>
    </xf>
    <xf numFmtId="2" fontId="78" fillId="0" borderId="11" xfId="0" applyNumberFormat="1" applyFont="1" applyBorder="1" applyAlignment="1">
      <alignment vertical="center" wrapText="1"/>
    </xf>
    <xf numFmtId="2" fontId="78" fillId="0" borderId="11" xfId="0" applyNumberFormat="1" applyFont="1" applyBorder="1" applyAlignment="1">
      <alignment horizontal="center" vertical="center" wrapText="1"/>
    </xf>
    <xf numFmtId="1" fontId="78" fillId="0" borderId="11" xfId="0" applyNumberFormat="1" applyFont="1" applyBorder="1" applyAlignment="1">
      <alignment horizontal="center"/>
    </xf>
    <xf numFmtId="3" fontId="78" fillId="0" borderId="11" xfId="0" applyNumberFormat="1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77" fillId="0" borderId="0" xfId="0" applyFont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3" fillId="0" borderId="11" xfId="57" applyFont="1" applyBorder="1" applyAlignment="1">
      <alignment horizontal="center" vertical="center"/>
      <protection/>
    </xf>
    <xf numFmtId="0" fontId="14" fillId="0" borderId="12" xfId="57" applyFont="1" applyBorder="1" applyAlignment="1">
      <alignment horizontal="center" vertical="center"/>
      <protection/>
    </xf>
    <xf numFmtId="0" fontId="15" fillId="33" borderId="12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justify" vertical="top" wrapText="1"/>
    </xf>
    <xf numFmtId="3" fontId="23" fillId="0" borderId="12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justify" vertical="top" wrapText="1"/>
    </xf>
    <xf numFmtId="3" fontId="14" fillId="0" borderId="12" xfId="0" applyNumberFormat="1" applyFont="1" applyBorder="1" applyAlignment="1">
      <alignment horizontal="right" vertical="center"/>
    </xf>
    <xf numFmtId="3" fontId="22" fillId="0" borderId="12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justify" vertical="top" wrapText="1"/>
    </xf>
    <xf numFmtId="3" fontId="22" fillId="0" borderId="13" xfId="0" applyNumberFormat="1" applyFont="1" applyBorder="1" applyAlignment="1">
      <alignment horizontal="right" vertical="center"/>
    </xf>
    <xf numFmtId="0" fontId="2" fillId="37" borderId="12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justify" vertical="top" wrapText="1"/>
    </xf>
    <xf numFmtId="3" fontId="84" fillId="37" borderId="12" xfId="0" applyNumberFormat="1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vertical="center"/>
    </xf>
    <xf numFmtId="164" fontId="0" fillId="0" borderId="19" xfId="0" applyNumberFormat="1" applyFont="1" applyFill="1" applyBorder="1" applyAlignment="1">
      <alignment horizontal="center" vertical="center" wrapText="1"/>
    </xf>
    <xf numFmtId="168" fontId="14" fillId="0" borderId="0" xfId="42" applyNumberFormat="1" applyFont="1" applyBorder="1" applyAlignment="1">
      <alignment vertical="center"/>
    </xf>
    <xf numFmtId="0" fontId="17" fillId="0" borderId="12" xfId="0" applyNumberFormat="1" applyFont="1" applyFill="1" applyBorder="1" applyAlignment="1">
      <alignment horizontal="center" vertical="center"/>
    </xf>
    <xf numFmtId="171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18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 wrapText="1"/>
    </xf>
    <xf numFmtId="3" fontId="11" fillId="0" borderId="21" xfId="0" applyNumberFormat="1" applyFont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168" fontId="11" fillId="0" borderId="10" xfId="42" applyNumberFormat="1" applyFont="1" applyBorder="1" applyAlignment="1">
      <alignment horizontal="center" vertical="center"/>
    </xf>
    <xf numFmtId="168" fontId="11" fillId="0" borderId="10" xfId="42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3" fontId="52" fillId="0" borderId="0" xfId="0" applyNumberFormat="1" applyFont="1" applyAlignment="1">
      <alignment vertical="center"/>
    </xf>
    <xf numFmtId="0" fontId="52" fillId="0" borderId="0" xfId="0" applyFont="1" applyAlignment="1">
      <alignment horizontal="center" vertical="center"/>
    </xf>
    <xf numFmtId="3" fontId="5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" fillId="36" borderId="10" xfId="59" applyNumberFormat="1" applyFont="1" applyFill="1" applyBorder="1" applyAlignment="1">
      <alignment horizontal="center" vertical="center" wrapText="1"/>
      <protection/>
    </xf>
    <xf numFmtId="0" fontId="5" fillId="36" borderId="10" xfId="59" applyNumberFormat="1" applyFont="1" applyFill="1" applyBorder="1" applyAlignment="1">
      <alignment horizontal="center" vertical="center"/>
      <protection/>
    </xf>
    <xf numFmtId="0" fontId="5" fillId="36" borderId="10" xfId="59" applyFont="1" applyFill="1" applyBorder="1" applyAlignment="1">
      <alignment horizontal="center" vertical="center"/>
      <protection/>
    </xf>
    <xf numFmtId="3" fontId="85" fillId="0" borderId="20" xfId="59" applyNumberFormat="1" applyFont="1" applyFill="1" applyBorder="1" applyAlignment="1">
      <alignment horizontal="center" vertical="center" wrapText="1"/>
      <protection/>
    </xf>
    <xf numFmtId="3" fontId="5" fillId="36" borderId="10" xfId="59" applyNumberFormat="1" applyFont="1" applyFill="1" applyBorder="1" applyAlignment="1">
      <alignment horizontal="center" vertical="center" wrapText="1"/>
      <protection/>
    </xf>
    <xf numFmtId="0" fontId="5" fillId="36" borderId="10" xfId="59" applyNumberFormat="1" applyFont="1" applyFill="1" applyBorder="1" applyAlignment="1">
      <alignment horizontal="center" vertical="center" wrapText="1"/>
      <protection/>
    </xf>
    <xf numFmtId="9" fontId="85" fillId="0" borderId="21" xfId="63" applyFont="1" applyFill="1" applyBorder="1" applyAlignment="1">
      <alignment horizontal="center" vertical="center"/>
    </xf>
    <xf numFmtId="0" fontId="5" fillId="36" borderId="11" xfId="59" applyNumberFormat="1" applyFont="1" applyFill="1" applyBorder="1" applyAlignment="1">
      <alignment horizontal="center" vertical="center"/>
      <protection/>
    </xf>
    <xf numFmtId="0" fontId="5" fillId="36" borderId="11" xfId="59" applyNumberFormat="1" applyFont="1" applyFill="1" applyBorder="1" applyAlignment="1">
      <alignment horizontal="left" vertical="center"/>
      <protection/>
    </xf>
    <xf numFmtId="3" fontId="5" fillId="36" borderId="11" xfId="59" applyNumberFormat="1" applyFont="1" applyFill="1" applyBorder="1" applyAlignment="1">
      <alignment horizontal="center" vertical="center" wrapText="1"/>
      <protection/>
    </xf>
    <xf numFmtId="3" fontId="5" fillId="36" borderId="11" xfId="59" applyNumberFormat="1" applyFont="1" applyFill="1" applyBorder="1" applyAlignment="1">
      <alignment horizontal="right" vertical="center" wrapText="1"/>
      <protection/>
    </xf>
    <xf numFmtId="0" fontId="5" fillId="36" borderId="11" xfId="59" applyNumberFormat="1" applyFont="1" applyFill="1" applyBorder="1" applyAlignment="1">
      <alignment horizontal="center" vertical="center" wrapText="1"/>
      <protection/>
    </xf>
    <xf numFmtId="3" fontId="85" fillId="0" borderId="11" xfId="59" applyNumberFormat="1" applyFont="1" applyFill="1" applyBorder="1" applyAlignment="1">
      <alignment horizontal="center" vertical="center"/>
      <protection/>
    </xf>
    <xf numFmtId="0" fontId="86" fillId="0" borderId="12" xfId="0" applyFont="1" applyBorder="1" applyAlignment="1">
      <alignment horizontal="center" vertical="center" wrapText="1"/>
    </xf>
    <xf numFmtId="0" fontId="86" fillId="0" borderId="12" xfId="0" applyFont="1" applyBorder="1" applyAlignment="1">
      <alignment horizontal="justify" vertical="center" wrapText="1"/>
    </xf>
    <xf numFmtId="3" fontId="86" fillId="0" borderId="12" xfId="0" applyNumberFormat="1" applyFont="1" applyBorder="1" applyAlignment="1">
      <alignment vertical="center"/>
    </xf>
    <xf numFmtId="3" fontId="86" fillId="36" borderId="12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justify" vertical="center" wrapText="1"/>
    </xf>
    <xf numFmtId="3" fontId="53" fillId="0" borderId="12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86" fillId="0" borderId="12" xfId="0" applyNumberFormat="1" applyFont="1" applyFill="1" applyBorder="1" applyAlignment="1">
      <alignment vertical="center"/>
    </xf>
    <xf numFmtId="0" fontId="86" fillId="0" borderId="12" xfId="0" applyFont="1" applyBorder="1" applyAlignment="1">
      <alignment vertical="center" wrapText="1"/>
    </xf>
    <xf numFmtId="0" fontId="86" fillId="0" borderId="10" xfId="0" applyFont="1" applyBorder="1" applyAlignment="1">
      <alignment horizontal="center" vertical="center"/>
    </xf>
    <xf numFmtId="0" fontId="86" fillId="0" borderId="10" xfId="0" applyFont="1" applyBorder="1" applyAlignment="1">
      <alignment vertical="center" wrapText="1"/>
    </xf>
    <xf numFmtId="0" fontId="86" fillId="0" borderId="10" xfId="0" applyFont="1" applyBorder="1" applyAlignment="1">
      <alignment vertical="center"/>
    </xf>
    <xf numFmtId="3" fontId="86" fillId="0" borderId="10" xfId="0" applyNumberFormat="1" applyFont="1" applyFill="1" applyBorder="1" applyAlignment="1">
      <alignment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DM 14- 2006- CLBD" xfId="59"/>
    <cellStyle name="Normal_Thietbi" xfId="60"/>
    <cellStyle name="Note" xfId="61"/>
    <cellStyle name="Output" xfId="62"/>
    <cellStyle name="Percent" xfId="63"/>
    <cellStyle name="Percent 2" xfId="64"/>
    <cellStyle name="Percent 3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</xdr:row>
      <xdr:rowOff>9525</xdr:rowOff>
    </xdr:from>
    <xdr:to>
      <xdr:col>1</xdr:col>
      <xdr:colOff>1743075</xdr:colOff>
      <xdr:row>2</xdr:row>
      <xdr:rowOff>9525</xdr:rowOff>
    </xdr:to>
    <xdr:sp>
      <xdr:nvSpPr>
        <xdr:cNvPr id="1" name="Straight Connector 4"/>
        <xdr:cNvSpPr>
          <a:spLocks/>
        </xdr:cNvSpPr>
      </xdr:nvSpPr>
      <xdr:spPr>
        <a:xfrm>
          <a:off x="990600" y="504825"/>
          <a:ext cx="1295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2</xdr:row>
      <xdr:rowOff>9525</xdr:rowOff>
    </xdr:from>
    <xdr:to>
      <xdr:col>8</xdr:col>
      <xdr:colOff>342900</xdr:colOff>
      <xdr:row>2</xdr:row>
      <xdr:rowOff>9525</xdr:rowOff>
    </xdr:to>
    <xdr:sp>
      <xdr:nvSpPr>
        <xdr:cNvPr id="2" name="Straight Connector 6"/>
        <xdr:cNvSpPr>
          <a:spLocks/>
        </xdr:cNvSpPr>
      </xdr:nvSpPr>
      <xdr:spPr>
        <a:xfrm>
          <a:off x="5819775" y="504825"/>
          <a:ext cx="2124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A6" sqref="A6:J6"/>
    </sheetView>
  </sheetViews>
  <sheetFormatPr defaultColWidth="10.421875" defaultRowHeight="19.5" customHeight="1"/>
  <cols>
    <col min="1" max="1" width="8.140625" style="94" customWidth="1"/>
    <col min="2" max="2" width="40.7109375" style="93" customWidth="1"/>
    <col min="3" max="3" width="11.7109375" style="93" customWidth="1"/>
    <col min="4" max="4" width="11.7109375" style="396" customWidth="1"/>
    <col min="5" max="7" width="10.421875" style="396" customWidth="1"/>
    <col min="8" max="8" width="10.421875" style="93" customWidth="1"/>
    <col min="9" max="9" width="10.28125" style="415" customWidth="1"/>
    <col min="10" max="10" width="10.140625" style="93" customWidth="1"/>
    <col min="11" max="16384" width="10.421875" style="93" customWidth="1"/>
  </cols>
  <sheetData>
    <row r="1" spans="1:10" s="465" customFormat="1" ht="19.5" customHeight="1">
      <c r="A1" s="469" t="s">
        <v>594</v>
      </c>
      <c r="B1" s="469"/>
      <c r="C1" s="470"/>
      <c r="D1" s="471"/>
      <c r="E1" s="472" t="s">
        <v>596</v>
      </c>
      <c r="F1" s="472"/>
      <c r="G1" s="472"/>
      <c r="H1" s="472"/>
      <c r="I1" s="472"/>
      <c r="J1" s="472"/>
    </row>
    <row r="2" spans="1:10" s="465" customFormat="1" ht="19.5" customHeight="1">
      <c r="A2" s="469" t="s">
        <v>595</v>
      </c>
      <c r="B2" s="469"/>
      <c r="C2" s="470"/>
      <c r="D2" s="471"/>
      <c r="E2" s="472" t="s">
        <v>597</v>
      </c>
      <c r="F2" s="472"/>
      <c r="G2" s="472"/>
      <c r="H2" s="472"/>
      <c r="I2" s="472"/>
      <c r="J2" s="472"/>
    </row>
    <row r="3" spans="1:10" s="465" customFormat="1" ht="19.5" customHeight="1">
      <c r="A3" s="467"/>
      <c r="B3" s="467"/>
      <c r="D3" s="466"/>
      <c r="E3" s="468"/>
      <c r="F3" s="468"/>
      <c r="G3" s="468"/>
      <c r="H3" s="468"/>
      <c r="I3" s="468"/>
      <c r="J3" s="468"/>
    </row>
    <row r="4" spans="1:10" s="465" customFormat="1" ht="19.5" customHeight="1">
      <c r="A4" s="469" t="s">
        <v>598</v>
      </c>
      <c r="B4" s="469"/>
      <c r="C4" s="469"/>
      <c r="D4" s="469"/>
      <c r="E4" s="469"/>
      <c r="F4" s="469"/>
      <c r="G4" s="469"/>
      <c r="H4" s="469"/>
      <c r="I4" s="469"/>
      <c r="J4" s="469"/>
    </row>
    <row r="5" spans="1:10" ht="29.25" customHeight="1">
      <c r="A5" s="469" t="s">
        <v>601</v>
      </c>
      <c r="B5" s="469"/>
      <c r="C5" s="469"/>
      <c r="D5" s="469"/>
      <c r="E5" s="469"/>
      <c r="F5" s="469"/>
      <c r="G5" s="469"/>
      <c r="H5" s="469"/>
      <c r="I5" s="469"/>
      <c r="J5" s="469"/>
    </row>
    <row r="6" spans="1:10" ht="19.5" customHeight="1">
      <c r="A6" s="473" t="s">
        <v>599</v>
      </c>
      <c r="B6" s="473"/>
      <c r="C6" s="473"/>
      <c r="D6" s="473"/>
      <c r="E6" s="473"/>
      <c r="F6" s="473"/>
      <c r="G6" s="473"/>
      <c r="H6" s="473"/>
      <c r="I6" s="473"/>
      <c r="J6" s="473"/>
    </row>
    <row r="7" spans="1:10" ht="33" customHeight="1">
      <c r="A7" s="474" t="s">
        <v>559</v>
      </c>
      <c r="B7" s="475" t="s">
        <v>17</v>
      </c>
      <c r="C7" s="474" t="s">
        <v>22</v>
      </c>
      <c r="D7" s="475" t="s">
        <v>16</v>
      </c>
      <c r="E7" s="476"/>
      <c r="F7" s="476"/>
      <c r="G7" s="476"/>
      <c r="H7" s="476"/>
      <c r="I7" s="477" t="s">
        <v>593</v>
      </c>
      <c r="J7" s="474" t="s">
        <v>564</v>
      </c>
    </row>
    <row r="8" spans="1:10" ht="39.75" customHeight="1">
      <c r="A8" s="475"/>
      <c r="B8" s="475"/>
      <c r="C8" s="475"/>
      <c r="D8" s="478" t="s">
        <v>570</v>
      </c>
      <c r="E8" s="478" t="s">
        <v>561</v>
      </c>
      <c r="F8" s="478" t="s">
        <v>562</v>
      </c>
      <c r="G8" s="478" t="s">
        <v>563</v>
      </c>
      <c r="H8" s="479" t="s">
        <v>560</v>
      </c>
      <c r="I8" s="480">
        <v>0.2</v>
      </c>
      <c r="J8" s="475"/>
    </row>
    <row r="9" spans="1:10" ht="24" customHeight="1">
      <c r="A9" s="481" t="s">
        <v>118</v>
      </c>
      <c r="B9" s="482" t="s">
        <v>571</v>
      </c>
      <c r="C9" s="481"/>
      <c r="D9" s="483"/>
      <c r="E9" s="484"/>
      <c r="F9" s="484"/>
      <c r="G9" s="483"/>
      <c r="H9" s="485"/>
      <c r="I9" s="486"/>
      <c r="J9" s="481"/>
    </row>
    <row r="10" spans="1:10" s="414" customFormat="1" ht="24.75" customHeight="1">
      <c r="A10" s="487">
        <v>1</v>
      </c>
      <c r="B10" s="488" t="s">
        <v>82</v>
      </c>
      <c r="C10" s="487" t="s">
        <v>573</v>
      </c>
      <c r="D10" s="489">
        <f>VLOOKUP(B10,nhâncông!$B$96:$D$104,3,0)</f>
        <v>1215985.2750000001</v>
      </c>
      <c r="E10" s="489">
        <f>VLOOKUP(B10,Dungcu_A_TN_KT_BG!$B$71:$D$78,3,0)</f>
        <v>207825</v>
      </c>
      <c r="F10" s="489">
        <f>VLOOKUP(B10,Thietbi_A_TN_KT_BG_BC!$B$221:$E$229,4,0)</f>
        <v>4486.7085</v>
      </c>
      <c r="G10" s="489">
        <f>VLOOKUP(B10,Vatlieu_A_TN_KT_BG_BC!B25:$E$33,4,0)</f>
        <v>53433.54</v>
      </c>
      <c r="H10" s="489">
        <f>D10+E10+F10+G10</f>
        <v>1481730.5235000001</v>
      </c>
      <c r="I10" s="490">
        <f aca="true" t="shared" si="0" ref="I10:I18">H10*$I$8</f>
        <v>296346.1047</v>
      </c>
      <c r="J10" s="489">
        <f>H10+I10</f>
        <v>1778076.6282000002</v>
      </c>
    </row>
    <row r="11" spans="1:10" ht="24.75" customHeight="1">
      <c r="A11" s="15" t="s">
        <v>11</v>
      </c>
      <c r="B11" s="16" t="s">
        <v>421</v>
      </c>
      <c r="C11" s="15" t="s">
        <v>573</v>
      </c>
      <c r="D11" s="35">
        <f>VLOOKUP(B11,nhâncông!$B$96:$D$104,3,0)</f>
        <v>364795.5825</v>
      </c>
      <c r="E11" s="35">
        <f>VLOOKUP(B11,Dungcu_A_TN_KT_BG!$B$71:$D$78,3,0)</f>
        <v>62347.5</v>
      </c>
      <c r="F11" s="35">
        <f>VLOOKUP(B11,Thietbi_A_TN_KT_BG_BC!$B$221:$E$229,4,0)</f>
        <v>1346.01255</v>
      </c>
      <c r="G11" s="35">
        <f>VLOOKUP(B11,Vatlieu_A_TN_KT_BG_BC!B26:$E$33,4,0)</f>
        <v>16030.062</v>
      </c>
      <c r="H11" s="35">
        <f aca="true" t="shared" si="1" ref="H11:H68">D11+E11+F11+G11</f>
        <v>444519.15705</v>
      </c>
      <c r="I11" s="490">
        <f t="shared" si="0"/>
        <v>88903.83141</v>
      </c>
      <c r="J11" s="489">
        <f aca="true" t="shared" si="2" ref="J11:J68">H11+I11</f>
        <v>533422.98846</v>
      </c>
    </row>
    <row r="12" spans="1:10" ht="24.75" customHeight="1">
      <c r="A12" s="15" t="s">
        <v>12</v>
      </c>
      <c r="B12" s="16" t="s">
        <v>422</v>
      </c>
      <c r="C12" s="15" t="s">
        <v>573</v>
      </c>
      <c r="D12" s="35">
        <f>VLOOKUP(B12,nhâncông!$B$96:$D$104,3,0)</f>
        <v>851189.6925</v>
      </c>
      <c r="E12" s="35">
        <f>VLOOKUP(B12,Dungcu_A_TN_KT_BG!$B$71:$D$78,3,0)</f>
        <v>145477.5</v>
      </c>
      <c r="F12" s="35">
        <f>VLOOKUP(B12,Thietbi_A_TN_KT_BG_BC!$B$221:$E$229,4,0)</f>
        <v>3140.69595</v>
      </c>
      <c r="G12" s="35">
        <f>VLOOKUP(B12,Vatlieu_A_TN_KT_BG_BC!B27:$E$33,4,0)</f>
        <v>37403.477999999996</v>
      </c>
      <c r="H12" s="35">
        <f t="shared" si="1"/>
        <v>1037211.36645</v>
      </c>
      <c r="I12" s="490">
        <f t="shared" si="0"/>
        <v>207442.27329</v>
      </c>
      <c r="J12" s="489">
        <f t="shared" si="2"/>
        <v>1244653.63974</v>
      </c>
    </row>
    <row r="13" spans="1:10" s="414" customFormat="1" ht="24.75" customHeight="1">
      <c r="A13" s="487">
        <v>2</v>
      </c>
      <c r="B13" s="488" t="s">
        <v>97</v>
      </c>
      <c r="C13" s="487" t="s">
        <v>573</v>
      </c>
      <c r="D13" s="489">
        <f>VLOOKUP(B13,nhâncông!$B$96:$D$104,3,0)</f>
        <v>4145369.6024999996</v>
      </c>
      <c r="E13" s="489">
        <f>VLOOKUP(B13,Dungcu_A_TN_KT_BG!$B$71:$D$78,3,0)</f>
        <v>508715</v>
      </c>
      <c r="F13" s="489">
        <f>VLOOKUP(B13,Thietbi_A_TN_KT_BG_BC!$B$221:$E$229,4,0)</f>
        <v>24086.8738</v>
      </c>
      <c r="G13" s="489">
        <f>VLOOKUP(B13,Vatlieu_A_TN_KT_BG_BC!B28:$E$33,4,0)</f>
        <v>97759.98000000001</v>
      </c>
      <c r="H13" s="489">
        <f t="shared" si="1"/>
        <v>4775931.4563</v>
      </c>
      <c r="I13" s="490">
        <f t="shared" si="0"/>
        <v>955186.29126</v>
      </c>
      <c r="J13" s="489">
        <f t="shared" si="2"/>
        <v>5731117.74756</v>
      </c>
    </row>
    <row r="14" spans="1:10" ht="24.75" customHeight="1">
      <c r="A14" s="15" t="s">
        <v>13</v>
      </c>
      <c r="B14" s="16" t="s">
        <v>68</v>
      </c>
      <c r="C14" s="15" t="s">
        <v>573</v>
      </c>
      <c r="D14" s="35">
        <f>VLOOKUP(B14,nhâncông!$B$96:$D$104,3,0)</f>
        <v>829073.9205</v>
      </c>
      <c r="E14" s="35">
        <f>VLOOKUP(B14,Dungcu_A_TN_KT_BG!$B$71:$D$78,3,0)</f>
        <v>101743</v>
      </c>
      <c r="F14" s="35">
        <f>VLOOKUP(B14,Thietbi_A_TN_KT_BG_BC!$B$221:$E$229,4,0)</f>
        <v>4817.374760000001</v>
      </c>
      <c r="G14" s="35">
        <f>VLOOKUP(B14,Vatlieu_A_TN_KT_BG_BC!B29:$E$33,4,0)</f>
        <v>19551.996000000003</v>
      </c>
      <c r="H14" s="35">
        <f t="shared" si="1"/>
        <v>955186.2912600001</v>
      </c>
      <c r="I14" s="490">
        <f t="shared" si="0"/>
        <v>191037.25825200003</v>
      </c>
      <c r="J14" s="489">
        <f t="shared" si="2"/>
        <v>1146223.549512</v>
      </c>
    </row>
    <row r="15" spans="1:10" ht="24.75" customHeight="1">
      <c r="A15" s="15" t="s">
        <v>14</v>
      </c>
      <c r="B15" s="16" t="s">
        <v>97</v>
      </c>
      <c r="C15" s="15" t="s">
        <v>573</v>
      </c>
      <c r="D15" s="35">
        <f>VLOOKUP(B15,nhâncông!$B$96:$D$104,3,0)</f>
        <v>4145369.6024999996</v>
      </c>
      <c r="E15" s="35">
        <f>VLOOKUP(B15,Dungcu_A_TN_KT_BG!$B$71:$D$78,3,0)</f>
        <v>508715</v>
      </c>
      <c r="F15" s="35">
        <f>VLOOKUP(B15,Thietbi_A_TN_KT_BG_BC!$B$221:$E$229,4,0)</f>
        <v>24086.8738</v>
      </c>
      <c r="G15" s="35">
        <f>VLOOKUP(B15,Vatlieu_A_TN_KT_BG_BC!B30:$E$33,4,0)</f>
        <v>68431.986</v>
      </c>
      <c r="H15" s="35">
        <f t="shared" si="1"/>
        <v>4746603.462299999</v>
      </c>
      <c r="I15" s="490">
        <f t="shared" si="0"/>
        <v>949320.6924599998</v>
      </c>
      <c r="J15" s="489">
        <f t="shared" si="2"/>
        <v>5695924.154759998</v>
      </c>
    </row>
    <row r="16" spans="1:10" ht="24.75" customHeight="1">
      <c r="A16" s="15" t="s">
        <v>15</v>
      </c>
      <c r="B16" s="16" t="s">
        <v>423</v>
      </c>
      <c r="C16" s="15" t="s">
        <v>573</v>
      </c>
      <c r="D16" s="35">
        <f>VLOOKUP(B16,nhâncông!$B$96:$D$104,3,0)</f>
        <v>414536.96025</v>
      </c>
      <c r="E16" s="35">
        <f>VLOOKUP(B16,Dungcu_A_TN_KT_BG!$B$71:$D$78,3,0)</f>
        <v>50871.5</v>
      </c>
      <c r="F16" s="35">
        <f>VLOOKUP(B16,Thietbi_A_TN_KT_BG_BC!$B$221:$E$229,4,0)</f>
        <v>2408.6873800000003</v>
      </c>
      <c r="G16" s="35">
        <f>VLOOKUP(B16,Vatlieu_A_TN_KT_BG_BC!B31:$E$33,4,0)</f>
        <v>9775.998000000001</v>
      </c>
      <c r="H16" s="35">
        <f t="shared" si="1"/>
        <v>477593.14563000004</v>
      </c>
      <c r="I16" s="490">
        <f t="shared" si="0"/>
        <v>95518.62912600001</v>
      </c>
      <c r="J16" s="489">
        <f t="shared" si="2"/>
        <v>573111.774756</v>
      </c>
    </row>
    <row r="17" spans="1:10" s="414" customFormat="1" ht="24.75" customHeight="1">
      <c r="A17" s="487">
        <v>3</v>
      </c>
      <c r="B17" s="488" t="s">
        <v>100</v>
      </c>
      <c r="C17" s="487" t="s">
        <v>573</v>
      </c>
      <c r="D17" s="489">
        <f>VLOOKUP(B17,nhâncông!$B$96:$D$104,3,0)</f>
        <v>802588.5</v>
      </c>
      <c r="E17" s="489">
        <f>VLOOKUP(B17,Dungcu_A_TN_KT_BG!$B$71:$D$78,3,0)</f>
        <v>272881</v>
      </c>
      <c r="F17" s="489">
        <f>VLOOKUP(B17,Thietbi_A_TN_KT_BG_BC!$B$221:$E$229,4,0)</f>
        <v>9111.69</v>
      </c>
      <c r="G17" s="489">
        <f>VLOOKUP(B17,Vatlieu_A_TN_KT_BG_BC!B32:$E$33,4,0)</f>
        <v>50622.840000000004</v>
      </c>
      <c r="H17" s="489">
        <f t="shared" si="1"/>
        <v>1135204.03</v>
      </c>
      <c r="I17" s="490">
        <f t="shared" si="0"/>
        <v>227040.806</v>
      </c>
      <c r="J17" s="489">
        <f t="shared" si="2"/>
        <v>1362244.8360000001</v>
      </c>
    </row>
    <row r="18" spans="1:10" s="414" customFormat="1" ht="24.75" customHeight="1">
      <c r="A18" s="487">
        <v>4</v>
      </c>
      <c r="B18" s="488" t="s">
        <v>286</v>
      </c>
      <c r="C18" s="487" t="s">
        <v>573</v>
      </c>
      <c r="D18" s="489">
        <f>VLOOKUP(B18,nhâncông!$B$96:$D$104,3,0)</f>
        <v>1358880</v>
      </c>
      <c r="E18" s="489">
        <f>Dungcu_A_BC!E35</f>
        <v>48529</v>
      </c>
      <c r="F18" s="489">
        <f>VLOOKUP(B18,Thietbi_A_TN_KT_BG_BC!$B$221:$E$229,4,0)</f>
        <v>21426.210000000003</v>
      </c>
      <c r="G18" s="489">
        <f>VLOOKUP(B18,Vatlieu_A_TN_KT_BG_BC!B33:$E$33,4,0)</f>
        <v>31852.440000000002</v>
      </c>
      <c r="H18" s="489">
        <f t="shared" si="1"/>
        <v>1460687.65</v>
      </c>
      <c r="I18" s="490">
        <f t="shared" si="0"/>
        <v>292137.52999999997</v>
      </c>
      <c r="J18" s="489">
        <f t="shared" si="2"/>
        <v>1752825.18</v>
      </c>
    </row>
    <row r="19" spans="1:10" s="105" customFormat="1" ht="24.75" customHeight="1">
      <c r="A19" s="491" t="s">
        <v>425</v>
      </c>
      <c r="B19" s="17" t="s">
        <v>572</v>
      </c>
      <c r="C19" s="491"/>
      <c r="D19" s="492"/>
      <c r="E19" s="35"/>
      <c r="F19" s="35"/>
      <c r="G19" s="492"/>
      <c r="H19" s="35"/>
      <c r="I19" s="490"/>
      <c r="J19" s="489"/>
    </row>
    <row r="20" spans="1:10" s="414" customFormat="1" ht="24" customHeight="1">
      <c r="A20" s="487" t="s">
        <v>9</v>
      </c>
      <c r="B20" s="488" t="s">
        <v>121</v>
      </c>
      <c r="C20" s="487"/>
      <c r="D20" s="489"/>
      <c r="E20" s="489"/>
      <c r="F20" s="489"/>
      <c r="G20" s="489"/>
      <c r="H20" s="489"/>
      <c r="I20" s="490"/>
      <c r="J20" s="489"/>
    </row>
    <row r="21" spans="1:10" ht="24" customHeight="1">
      <c r="A21" s="15">
        <v>1</v>
      </c>
      <c r="B21" s="16" t="s">
        <v>120</v>
      </c>
      <c r="C21" s="15" t="s">
        <v>575</v>
      </c>
      <c r="D21" s="35">
        <f>nhâncông!G43</f>
        <v>4248092.4375</v>
      </c>
      <c r="E21" s="35">
        <f>VLOOKUP(B21,Dungcu_B_BQ_CC!B36:$E$613,4,0)</f>
        <v>397733</v>
      </c>
      <c r="F21" s="35">
        <f>VLOOKUP(B21,Thietbi_B_BQ!B4:$I$69,8,0)</f>
        <v>124431.24999999999</v>
      </c>
      <c r="G21" s="35">
        <f>Vatlieu_B_BQKho!F12</f>
        <v>400032</v>
      </c>
      <c r="H21" s="35">
        <f t="shared" si="1"/>
        <v>5170288.6875</v>
      </c>
      <c r="I21" s="490">
        <f>H21*$I$8</f>
        <v>1034057.7375</v>
      </c>
      <c r="J21" s="489">
        <f t="shared" si="2"/>
        <v>6204346.425</v>
      </c>
    </row>
    <row r="22" spans="1:10" s="414" customFormat="1" ht="24" customHeight="1">
      <c r="A22" s="487">
        <v>2</v>
      </c>
      <c r="B22" s="488" t="s">
        <v>121</v>
      </c>
      <c r="C22" s="487"/>
      <c r="D22" s="489"/>
      <c r="E22" s="489"/>
      <c r="F22" s="489"/>
      <c r="G22" s="489"/>
      <c r="H22" s="489"/>
      <c r="I22" s="490"/>
      <c r="J22" s="489"/>
    </row>
    <row r="23" spans="1:10" s="398" customFormat="1" ht="24" customHeight="1">
      <c r="A23" s="493" t="s">
        <v>13</v>
      </c>
      <c r="B23" s="494" t="s">
        <v>459</v>
      </c>
      <c r="C23" s="493"/>
      <c r="D23" s="495"/>
      <c r="E23" s="495"/>
      <c r="F23" s="495"/>
      <c r="G23" s="495"/>
      <c r="H23" s="495"/>
      <c r="I23" s="490"/>
      <c r="J23" s="489"/>
    </row>
    <row r="24" spans="1:10" ht="24" customHeight="1">
      <c r="A24" s="15" t="s">
        <v>40</v>
      </c>
      <c r="B24" s="16" t="s">
        <v>69</v>
      </c>
      <c r="C24" s="15" t="s">
        <v>600</v>
      </c>
      <c r="D24" s="496">
        <f>VLOOKUP(B24,nhâncông!B46:$G$90,6,0)</f>
        <v>1923664.5</v>
      </c>
      <c r="E24" s="496">
        <f>VLOOKUP(B24,Dungcu_B_BQ_CC!B39:$E$613,4,0)</f>
        <v>180788</v>
      </c>
      <c r="F24" s="496">
        <f>VLOOKUP(B24,Thietbi_B_BQ!B7:$I$69,8,0)</f>
        <v>56378.75</v>
      </c>
      <c r="G24" s="496">
        <f>VLOOKUP(B24,Vatlieu_B_BQTL!B28:$D$43,3,0)</f>
        <v>208148.40000000002</v>
      </c>
      <c r="H24" s="35">
        <f t="shared" si="1"/>
        <v>2368979.65</v>
      </c>
      <c r="I24" s="490">
        <f>H24*$I$8</f>
        <v>473795.93</v>
      </c>
      <c r="J24" s="489">
        <f t="shared" si="2"/>
        <v>2842775.58</v>
      </c>
    </row>
    <row r="25" spans="1:10" ht="24" customHeight="1">
      <c r="A25" s="15" t="s">
        <v>41</v>
      </c>
      <c r="B25" s="16" t="s">
        <v>123</v>
      </c>
      <c r="C25" s="15" t="s">
        <v>600</v>
      </c>
      <c r="D25" s="496">
        <f>VLOOKUP(B25,nhâncông!B47:$G$90,6,0)</f>
        <v>641221.5</v>
      </c>
      <c r="E25" s="496">
        <f>VLOOKUP(B25,Dungcu_B_BQ_CC!B40:$E$613,4,0)</f>
        <v>59660</v>
      </c>
      <c r="F25" s="496">
        <f>VLOOKUP(B25,Thietbi_B_BQ!B8:$I$69,8,0)</f>
        <v>18792</v>
      </c>
      <c r="G25" s="496">
        <f>VLOOKUP(B25,Vatlieu_B_BQTL!B28:$D$43,3,0)</f>
        <v>31222.260000000002</v>
      </c>
      <c r="H25" s="35">
        <f t="shared" si="1"/>
        <v>750895.76</v>
      </c>
      <c r="I25" s="490">
        <f>H25*$I$8</f>
        <v>150179.152</v>
      </c>
      <c r="J25" s="489">
        <f t="shared" si="2"/>
        <v>901074.912</v>
      </c>
    </row>
    <row r="26" spans="1:10" ht="24" customHeight="1">
      <c r="A26" s="15" t="s">
        <v>124</v>
      </c>
      <c r="B26" s="16" t="s">
        <v>125</v>
      </c>
      <c r="C26" s="15" t="s">
        <v>551</v>
      </c>
      <c r="D26" s="496">
        <f>VLOOKUP(B26,nhâncông!B48:$G$90,6,0)</f>
        <v>64122.15</v>
      </c>
      <c r="E26" s="496">
        <f>VLOOKUP(B26,Dungcu_B_BQ_CC!B41:$E$613,4,0)</f>
        <v>5424</v>
      </c>
      <c r="F26" s="496">
        <f>VLOOKUP(B26,Thietbi_B_BQ!B9:$I$69,8,0)</f>
        <v>1866.5</v>
      </c>
      <c r="G26" s="496">
        <f>VLOOKUP(B26,Vatlieu_B_BQTL!B29:$D$43,3,0)</f>
        <v>7805.5650000000005</v>
      </c>
      <c r="H26" s="35">
        <f t="shared" si="1"/>
        <v>79218.215</v>
      </c>
      <c r="I26" s="490">
        <f>H26*$I$8</f>
        <v>15843.643</v>
      </c>
      <c r="J26" s="489">
        <f t="shared" si="2"/>
        <v>95061.858</v>
      </c>
    </row>
    <row r="27" spans="1:10" ht="24" customHeight="1">
      <c r="A27" s="15" t="s">
        <v>127</v>
      </c>
      <c r="B27" s="16" t="s">
        <v>128</v>
      </c>
      <c r="C27" s="15"/>
      <c r="D27" s="35"/>
      <c r="E27" s="35"/>
      <c r="F27" s="35"/>
      <c r="G27" s="35"/>
      <c r="H27" s="35"/>
      <c r="I27" s="490"/>
      <c r="J27" s="489"/>
    </row>
    <row r="28" spans="1:10" ht="24" customHeight="1">
      <c r="A28" s="15" t="s">
        <v>129</v>
      </c>
      <c r="B28" s="16" t="s">
        <v>130</v>
      </c>
      <c r="C28" s="15" t="s">
        <v>576</v>
      </c>
      <c r="D28" s="35">
        <f>VLOOKUP(B28,nhâncông!B50:$G$90,6,0)</f>
        <v>64122.15</v>
      </c>
      <c r="E28" s="35">
        <f>VLOOKUP(B28,Dungcu_B_BQ_CC!B43:$E$613,4,0)</f>
        <v>5424</v>
      </c>
      <c r="F28" s="35">
        <f>VLOOKUP(B28,Thietbi_B_BQ!B11:$I$69,8,0)</f>
        <v>5229.5</v>
      </c>
      <c r="G28" s="35">
        <f>Vatlieu_B_BQTL!D32</f>
        <v>83259.36000000002</v>
      </c>
      <c r="H28" s="35">
        <f t="shared" si="1"/>
        <v>158035.01</v>
      </c>
      <c r="I28" s="490">
        <f>H28*$I$8</f>
        <v>31607.002000000004</v>
      </c>
      <c r="J28" s="489">
        <f t="shared" si="2"/>
        <v>189642.01200000002</v>
      </c>
    </row>
    <row r="29" spans="1:10" ht="24" customHeight="1">
      <c r="A29" s="15" t="s">
        <v>131</v>
      </c>
      <c r="B29" s="16" t="s">
        <v>132</v>
      </c>
      <c r="C29" s="15" t="s">
        <v>71</v>
      </c>
      <c r="D29" s="35">
        <f>VLOOKUP(B29,nhâncông!B51:$G$90,6,0)</f>
        <v>64122.15</v>
      </c>
      <c r="E29" s="35">
        <f>VLOOKUP(B29,Dungcu_B_BQ_CC!B44:$E$613,4,0)</f>
        <v>5424</v>
      </c>
      <c r="F29" s="35">
        <f>VLOOKUP(B29,Thietbi_B_BQ!B12:$I$69,8,0)</f>
        <v>8017.25</v>
      </c>
      <c r="G29" s="35">
        <f>Vatlieu_B_BQTL!D33</f>
        <v>83259.36000000002</v>
      </c>
      <c r="H29" s="35">
        <f t="shared" si="1"/>
        <v>160822.76</v>
      </c>
      <c r="I29" s="490">
        <f>H29*$I$8</f>
        <v>32164.552000000003</v>
      </c>
      <c r="J29" s="489">
        <f t="shared" si="2"/>
        <v>192987.312</v>
      </c>
    </row>
    <row r="30" spans="1:10" s="398" customFormat="1" ht="24" customHeight="1">
      <c r="A30" s="493" t="s">
        <v>14</v>
      </c>
      <c r="B30" s="494" t="s">
        <v>134</v>
      </c>
      <c r="C30" s="493"/>
      <c r="D30" s="495"/>
      <c r="E30" s="495"/>
      <c r="F30" s="495"/>
      <c r="G30" s="495"/>
      <c r="H30" s="495"/>
      <c r="I30" s="490"/>
      <c r="J30" s="489"/>
    </row>
    <row r="31" spans="1:10" ht="24" customHeight="1">
      <c r="A31" s="15" t="s">
        <v>135</v>
      </c>
      <c r="B31" s="16" t="s">
        <v>69</v>
      </c>
      <c r="C31" s="15" t="s">
        <v>577</v>
      </c>
      <c r="D31" s="496">
        <f>VLOOKUP(B31,nhâncông!B53:$G$90,6,0)</f>
        <v>240458.0625</v>
      </c>
      <c r="E31" s="35">
        <f>VLOOKUP(B31,Dungcu_B_BQ_CC!B46:$E$613,4,0)</f>
        <v>21695</v>
      </c>
      <c r="F31" s="35">
        <f>VLOOKUP(B31,Thietbi_B_BQ!B14:$I$69,8,0)</f>
        <v>7034.75</v>
      </c>
      <c r="G31" s="35">
        <f>Vatlieu_B_BQTL!D35</f>
        <v>208148.40000000002</v>
      </c>
      <c r="H31" s="35">
        <f t="shared" si="1"/>
        <v>477336.2125</v>
      </c>
      <c r="I31" s="490">
        <f>H31*$I$8</f>
        <v>95467.24250000001</v>
      </c>
      <c r="J31" s="489">
        <f t="shared" si="2"/>
        <v>572803.4550000001</v>
      </c>
    </row>
    <row r="32" spans="1:10" ht="24" customHeight="1">
      <c r="A32" s="15" t="s">
        <v>137</v>
      </c>
      <c r="B32" s="16" t="s">
        <v>123</v>
      </c>
      <c r="C32" s="15" t="s">
        <v>577</v>
      </c>
      <c r="D32" s="496">
        <f>VLOOKUP(B32,nhâncông!B54:$G$90,6,0)</f>
        <v>480916.125</v>
      </c>
      <c r="E32" s="35">
        <f>VLOOKUP(B32,Dungcu_B_BQ_CC!B47:$E$613,4,0)</f>
        <v>45197</v>
      </c>
      <c r="F32" s="35">
        <f>VLOOKUP(B32,Thietbi_B_BQ!B15:$I$69,8,0)</f>
        <v>14017.75</v>
      </c>
      <c r="G32" s="35">
        <f>Vatlieu_B_BQTL!D36</f>
        <v>104074.20000000001</v>
      </c>
      <c r="H32" s="35">
        <f t="shared" si="1"/>
        <v>644205.075</v>
      </c>
      <c r="I32" s="490">
        <f>H32*$I$8</f>
        <v>128841.015</v>
      </c>
      <c r="J32" s="489">
        <f t="shared" si="2"/>
        <v>773046.09</v>
      </c>
    </row>
    <row r="33" spans="1:10" ht="24" customHeight="1">
      <c r="A33" s="15" t="s">
        <v>138</v>
      </c>
      <c r="B33" s="16" t="s">
        <v>139</v>
      </c>
      <c r="C33" s="15" t="s">
        <v>578</v>
      </c>
      <c r="D33" s="496">
        <f>VLOOKUP(B33,nhâncông!B55:$G$90,6,0)</f>
        <v>240458.0625</v>
      </c>
      <c r="E33" s="35">
        <f>VLOOKUP(B33,Dungcu_B_BQ_CC!B48:$E$613,4,0)</f>
        <v>21695</v>
      </c>
      <c r="F33" s="35">
        <f>VLOOKUP(B33,Thietbi_B_BQ!B16:$I$69,8,0)</f>
        <v>8615</v>
      </c>
      <c r="G33" s="35">
        <f>Vatlieu_B_BQTL!D37</f>
        <v>312222.60000000003</v>
      </c>
      <c r="H33" s="35">
        <f t="shared" si="1"/>
        <v>582990.6625000001</v>
      </c>
      <c r="I33" s="490">
        <f>H33*$I$8</f>
        <v>116598.13250000002</v>
      </c>
      <c r="J33" s="489">
        <f t="shared" si="2"/>
        <v>699588.7950000002</v>
      </c>
    </row>
    <row r="34" spans="1:10" ht="24" customHeight="1">
      <c r="A34" s="15" t="s">
        <v>141</v>
      </c>
      <c r="B34" s="16" t="s">
        <v>142</v>
      </c>
      <c r="C34" s="15" t="s">
        <v>579</v>
      </c>
      <c r="D34" s="496">
        <f>VLOOKUP(B34,nhâncông!B56:$G$90,6,0)</f>
        <v>240458.0625</v>
      </c>
      <c r="E34" s="35">
        <f>VLOOKUP(B34,Dungcu_B_BQ_CC!B49:$E$613,4,0)</f>
        <v>21695</v>
      </c>
      <c r="F34" s="35">
        <f>VLOOKUP(B34,Thietbi_B_BQ!B17:$I$69,8,0)</f>
        <v>17627</v>
      </c>
      <c r="G34" s="35">
        <f>Vatlieu_B_BQTL!D38</f>
        <v>208148.40000000002</v>
      </c>
      <c r="H34" s="35">
        <f t="shared" si="1"/>
        <v>487928.4625</v>
      </c>
      <c r="I34" s="490">
        <f>H34*$I$8</f>
        <v>97585.6925</v>
      </c>
      <c r="J34" s="489">
        <f t="shared" si="2"/>
        <v>585514.155</v>
      </c>
    </row>
    <row r="35" spans="1:10" ht="24" customHeight="1">
      <c r="A35" s="15" t="s">
        <v>144</v>
      </c>
      <c r="B35" s="16" t="s">
        <v>465</v>
      </c>
      <c r="C35" s="15" t="s">
        <v>579</v>
      </c>
      <c r="D35" s="496">
        <f>nhâncông!G57</f>
        <v>240458.0625</v>
      </c>
      <c r="E35" s="35">
        <f>VLOOKUP(B35,Dungcu_B_BQ_CC!B50:$E$613,4,0)</f>
        <v>21695</v>
      </c>
      <c r="F35" s="35">
        <f>VLOOKUP(B35,Thietbi_B_BQ!B18:$I$69,8,0)</f>
        <v>17627</v>
      </c>
      <c r="G35" s="35">
        <f>Vatlieu_B_BQTL!D39</f>
        <v>208148.40000000002</v>
      </c>
      <c r="H35" s="35">
        <f t="shared" si="1"/>
        <v>487928.4625</v>
      </c>
      <c r="I35" s="490">
        <f>H35*$I$8</f>
        <v>97585.6925</v>
      </c>
      <c r="J35" s="489">
        <f t="shared" si="2"/>
        <v>585514.155</v>
      </c>
    </row>
    <row r="36" spans="1:10" s="398" customFormat="1" ht="24" customHeight="1">
      <c r="A36" s="493" t="s">
        <v>15</v>
      </c>
      <c r="B36" s="494" t="s">
        <v>146</v>
      </c>
      <c r="C36" s="493"/>
      <c r="D36" s="495"/>
      <c r="E36" s="495"/>
      <c r="F36" s="495"/>
      <c r="G36" s="495"/>
      <c r="H36" s="495"/>
      <c r="I36" s="490"/>
      <c r="J36" s="489"/>
    </row>
    <row r="37" spans="1:10" ht="24" customHeight="1">
      <c r="A37" s="15" t="s">
        <v>42</v>
      </c>
      <c r="B37" s="16" t="s">
        <v>147</v>
      </c>
      <c r="C37" s="15" t="s">
        <v>550</v>
      </c>
      <c r="D37" s="35">
        <f>VLOOKUP(B38,nhâncông!B59:$G$90,6,0)</f>
        <v>801526.875</v>
      </c>
      <c r="E37" s="35">
        <f>VLOOKUP(B37,Dungcu_B_BQ_CC!B52:$E$613,4,0)</f>
        <v>75931</v>
      </c>
      <c r="F37" s="35">
        <f>VLOOKUP(B37,Thietbi_B_BQ!B20:$I$69,8,0)</f>
        <v>24076</v>
      </c>
      <c r="G37" s="35">
        <f>Vatlieu_B_BQTL!D41</f>
        <v>894240.0000000001</v>
      </c>
      <c r="H37" s="35">
        <f t="shared" si="1"/>
        <v>1795773.875</v>
      </c>
      <c r="I37" s="490">
        <f>H37*$I$8</f>
        <v>359154.775</v>
      </c>
      <c r="J37" s="489">
        <f t="shared" si="2"/>
        <v>2154928.65</v>
      </c>
    </row>
    <row r="38" spans="1:10" ht="24" customHeight="1">
      <c r="A38" s="15" t="s">
        <v>43</v>
      </c>
      <c r="B38" s="16" t="s">
        <v>149</v>
      </c>
      <c r="C38" s="15" t="s">
        <v>550</v>
      </c>
      <c r="D38" s="35">
        <f>VLOOKUP(B39,nhâncông!B60:$G$90,6,0)</f>
        <v>801526.875</v>
      </c>
      <c r="E38" s="35">
        <f>VLOOKUP(B38,Dungcu_B_BQ_CC!B53:$E$613,4,0)</f>
        <v>75931</v>
      </c>
      <c r="F38" s="35">
        <f>VLOOKUP(B38,Thietbi_B_BQ!B21:$I$69,8,0)</f>
        <v>58870.75</v>
      </c>
      <c r="G38" s="35">
        <f>Vatlieu_B_BQTL!D42</f>
        <v>447120.00000000006</v>
      </c>
      <c r="H38" s="35">
        <f t="shared" si="1"/>
        <v>1383448.625</v>
      </c>
      <c r="I38" s="490">
        <f>H38*$I$8</f>
        <v>276689.72500000003</v>
      </c>
      <c r="J38" s="489">
        <f t="shared" si="2"/>
        <v>1660138.35</v>
      </c>
    </row>
    <row r="39" spans="1:10" ht="24" customHeight="1">
      <c r="A39" s="15" t="s">
        <v>44</v>
      </c>
      <c r="B39" s="16" t="s">
        <v>150</v>
      </c>
      <c r="C39" s="15" t="s">
        <v>550</v>
      </c>
      <c r="D39" s="35">
        <f>nhâncông!G61</f>
        <v>801526.875</v>
      </c>
      <c r="E39" s="35">
        <f>VLOOKUP(B39,Dungcu_B_BQ_CC!B54:$E$613,4,0)</f>
        <v>75931</v>
      </c>
      <c r="F39" s="35">
        <f>VLOOKUP(B39,Thietbi_B_BQ!B22:$I$69,8,0)</f>
        <v>58870.75</v>
      </c>
      <c r="G39" s="35">
        <f>Vatlieu_B_BQTL!D43</f>
        <v>447120.00000000006</v>
      </c>
      <c r="H39" s="35">
        <f t="shared" si="1"/>
        <v>1383448.625</v>
      </c>
      <c r="I39" s="490">
        <f>H39*$I$8</f>
        <v>276689.72500000003</v>
      </c>
      <c r="J39" s="489">
        <f t="shared" si="2"/>
        <v>1660138.35</v>
      </c>
    </row>
    <row r="40" spans="1:10" s="414" customFormat="1" ht="24" customHeight="1">
      <c r="A40" s="487">
        <v>3</v>
      </c>
      <c r="B40" s="488" t="s">
        <v>151</v>
      </c>
      <c r="C40" s="487" t="s">
        <v>580</v>
      </c>
      <c r="D40" s="497">
        <f>nhâncông!G62</f>
        <v>32061.075</v>
      </c>
      <c r="E40" s="489">
        <f>VLOOKUP(B40,Dungcu_B_BQ_CC!B55:$E$613,4,0)</f>
        <v>3616</v>
      </c>
      <c r="F40" s="489">
        <f>VLOOKUP(B40,Thietbi_B_BQ!B23:$I$69,8,0)</f>
        <v>4708.5</v>
      </c>
      <c r="G40" s="489">
        <f>Vatlieu_B_BQLBC!F9</f>
        <v>56238.840000000004</v>
      </c>
      <c r="H40" s="489">
        <f t="shared" si="1"/>
        <v>96624.41500000001</v>
      </c>
      <c r="I40" s="490">
        <f>H40*$I$8</f>
        <v>19324.883</v>
      </c>
      <c r="J40" s="489">
        <f t="shared" si="2"/>
        <v>115949.29800000001</v>
      </c>
    </row>
    <row r="41" spans="1:10" ht="24" customHeight="1">
      <c r="A41" s="15" t="s">
        <v>10</v>
      </c>
      <c r="B41" s="16" t="s">
        <v>153</v>
      </c>
      <c r="C41" s="15"/>
      <c r="D41" s="496">
        <f aca="true" t="shared" si="3" ref="D41:I41">D42+D43+D44++D45</f>
        <v>1098994.2</v>
      </c>
      <c r="E41" s="496">
        <f t="shared" si="3"/>
        <v>92203</v>
      </c>
      <c r="F41" s="496">
        <f t="shared" si="3"/>
        <v>72091.05</v>
      </c>
      <c r="G41" s="496">
        <f t="shared" si="3"/>
        <v>88519.068</v>
      </c>
      <c r="H41" s="496">
        <f t="shared" si="3"/>
        <v>1351807.3180000002</v>
      </c>
      <c r="I41" s="496">
        <f t="shared" si="3"/>
        <v>270361.4636</v>
      </c>
      <c r="J41" s="497">
        <f t="shared" si="2"/>
        <v>1622168.7816000003</v>
      </c>
    </row>
    <row r="42" spans="1:10" s="414" customFormat="1" ht="19.5" customHeight="1">
      <c r="A42" s="487">
        <v>1</v>
      </c>
      <c r="B42" s="488" t="s">
        <v>154</v>
      </c>
      <c r="C42" s="487" t="s">
        <v>550</v>
      </c>
      <c r="D42" s="497">
        <f>VLOOKUP(B42,nhâncông!B64:$G$90,6,0)</f>
        <v>275491.6875</v>
      </c>
      <c r="E42" s="489">
        <f>VLOOKUP(B42,Dungcu_B_BQ_CC!B57:$E$613,4,0)</f>
        <v>21695</v>
      </c>
      <c r="F42" s="489">
        <f>Thietbi_B_CC!I5</f>
        <v>8797</v>
      </c>
      <c r="G42" s="489">
        <f>Vatlieu_B_CCTLMT!D15</f>
        <v>14753.178</v>
      </c>
      <c r="H42" s="489">
        <f t="shared" si="1"/>
        <v>320736.8655</v>
      </c>
      <c r="I42" s="490">
        <f>H42*$I$8</f>
        <v>64147.373100000004</v>
      </c>
      <c r="J42" s="489">
        <f t="shared" si="2"/>
        <v>384884.23860000004</v>
      </c>
    </row>
    <row r="43" spans="1:10" s="414" customFormat="1" ht="19.5" customHeight="1">
      <c r="A43" s="487">
        <v>2</v>
      </c>
      <c r="B43" s="488" t="s">
        <v>155</v>
      </c>
      <c r="C43" s="487" t="s">
        <v>550</v>
      </c>
      <c r="D43" s="497">
        <f>VLOOKUP(B43,nhâncông!B65:$G$90,6,0)</f>
        <v>550983.375</v>
      </c>
      <c r="E43" s="489">
        <f>VLOOKUP(B43,Dungcu_B_BQ_CC!B58:$E$613,4,0)</f>
        <v>45197</v>
      </c>
      <c r="F43" s="489">
        <f>VLOOKUP(B43,Thietbi_B_CC!B7:$I$288,8,0)</f>
        <v>49694</v>
      </c>
      <c r="G43" s="489">
        <f>Vatlieu_B_CCTLMT!D16</f>
        <v>39341.808000000005</v>
      </c>
      <c r="H43" s="489">
        <f t="shared" si="1"/>
        <v>685216.183</v>
      </c>
      <c r="I43" s="490">
        <f>H43*$I$8</f>
        <v>137043.2366</v>
      </c>
      <c r="J43" s="489">
        <f t="shared" si="2"/>
        <v>822259.4195999999</v>
      </c>
    </row>
    <row r="44" spans="1:10" s="414" customFormat="1" ht="19.5" customHeight="1">
      <c r="A44" s="487">
        <v>3</v>
      </c>
      <c r="B44" s="488" t="s">
        <v>156</v>
      </c>
      <c r="C44" s="487" t="s">
        <v>550</v>
      </c>
      <c r="D44" s="497">
        <f>VLOOKUP(B44,nhâncông!B66:$G$90,6,0)</f>
        <v>240458.0625</v>
      </c>
      <c r="E44" s="489">
        <f>VLOOKUP(B44,Dungcu_B_BQ_CC!B59:$E$613,4,0)</f>
        <v>21695</v>
      </c>
      <c r="F44" s="489">
        <f>VLOOKUP(B44,Thietbi_B_CC!B8:$I$288,8,0)</f>
        <v>8797</v>
      </c>
      <c r="G44" s="489">
        <f>Vatlieu_B_CCTLMT!D17</f>
        <v>14753.178</v>
      </c>
      <c r="H44" s="489">
        <f t="shared" si="1"/>
        <v>285703.2405</v>
      </c>
      <c r="I44" s="490">
        <f>H44*$I$8</f>
        <v>57140.648100000006</v>
      </c>
      <c r="J44" s="489">
        <f t="shared" si="2"/>
        <v>342843.8886</v>
      </c>
    </row>
    <row r="45" spans="1:10" s="414" customFormat="1" ht="19.5" customHeight="1">
      <c r="A45" s="487">
        <v>4</v>
      </c>
      <c r="B45" s="488" t="s">
        <v>157</v>
      </c>
      <c r="C45" s="487" t="s">
        <v>580</v>
      </c>
      <c r="D45" s="497">
        <f>VLOOKUP(B45,nhâncông!B67:$G$90,6,0)</f>
        <v>32061.075</v>
      </c>
      <c r="E45" s="489">
        <f>VLOOKUP(B45,Dungcu_B_BQ_CC!B60:$E$613,4,0)</f>
        <v>3616</v>
      </c>
      <c r="F45" s="489">
        <f>VLOOKUP(B45,Thietbi_B_CC!B9:$I$288,8,0)</f>
        <v>4803.05</v>
      </c>
      <c r="G45" s="489">
        <f>Vatlieu_B_CCTLMT!D20</f>
        <v>19670.904000000002</v>
      </c>
      <c r="H45" s="489">
        <f t="shared" si="1"/>
        <v>60151.029</v>
      </c>
      <c r="I45" s="490">
        <f>H45*$I$8</f>
        <v>12030.205800000002</v>
      </c>
      <c r="J45" s="489">
        <f t="shared" si="2"/>
        <v>72181.2348</v>
      </c>
    </row>
    <row r="46" spans="1:10" s="105" customFormat="1" ht="19.5" customHeight="1">
      <c r="A46" s="491" t="s">
        <v>162</v>
      </c>
      <c r="B46" s="17" t="s">
        <v>163</v>
      </c>
      <c r="C46" s="491"/>
      <c r="D46" s="492"/>
      <c r="E46" s="492"/>
      <c r="F46" s="492"/>
      <c r="G46" s="492"/>
      <c r="H46" s="492"/>
      <c r="I46" s="490"/>
      <c r="J46" s="489"/>
    </row>
    <row r="47" spans="1:10" s="414" customFormat="1" ht="19.5" customHeight="1">
      <c r="A47" s="487">
        <v>1</v>
      </c>
      <c r="B47" s="498" t="s">
        <v>164</v>
      </c>
      <c r="C47" s="487"/>
      <c r="D47" s="489"/>
      <c r="E47" s="489"/>
      <c r="F47" s="489"/>
      <c r="G47" s="489"/>
      <c r="H47" s="489"/>
      <c r="I47" s="490"/>
      <c r="J47" s="489"/>
    </row>
    <row r="48" spans="1:10" ht="19.5" customHeight="1">
      <c r="A48" s="15" t="s">
        <v>11</v>
      </c>
      <c r="B48" s="21" t="s">
        <v>165</v>
      </c>
      <c r="C48" s="15" t="s">
        <v>581</v>
      </c>
      <c r="D48" s="496">
        <f>VLOOKUP(B48,nhâncông!B70:$G$90,6,0)</f>
        <v>696425.9999999999</v>
      </c>
      <c r="E48" s="35">
        <f>VLOOKUP(B48,Dungcu_C_BQK!B41:$E$47,4,0)</f>
        <v>34264.12532051282</v>
      </c>
      <c r="F48" s="35">
        <f>VLOOKUP(B48,Thietbi_C_CTTVMT!B5:$I$84,8,0)</f>
        <v>23494.5</v>
      </c>
      <c r="G48" s="35">
        <f>Vatlieu_C_BQK!E29</f>
        <v>191003.40000000002</v>
      </c>
      <c r="H48" s="35">
        <f t="shared" si="1"/>
        <v>945188.0253205127</v>
      </c>
      <c r="I48" s="490">
        <f aca="true" t="shared" si="4" ref="I48:I54">H48*$I$8</f>
        <v>189037.60506410256</v>
      </c>
      <c r="J48" s="489">
        <f t="shared" si="2"/>
        <v>1134225.6303846152</v>
      </c>
    </row>
    <row r="49" spans="1:10" ht="19.5" customHeight="1">
      <c r="A49" s="15" t="s">
        <v>12</v>
      </c>
      <c r="B49" s="21" t="s">
        <v>166</v>
      </c>
      <c r="C49" s="15" t="s">
        <v>581</v>
      </c>
      <c r="D49" s="496">
        <f>VLOOKUP(B49,nhâncông!B71:$G$90,6,0)</f>
        <v>1392851.9999999998</v>
      </c>
      <c r="E49" s="35">
        <f>VLOOKUP(B49,Dungcu_C_BQK!B42:$E$47,4,0)</f>
        <v>13705.65012820513</v>
      </c>
      <c r="F49" s="35">
        <f>VLOOKUP(B49,Thietbi_C_CTTVMT!B6:$I$84,8,0)</f>
        <v>46891.25</v>
      </c>
      <c r="G49" s="35">
        <f>Vatlieu_C_BQK!E30</f>
        <v>382006.80000000005</v>
      </c>
      <c r="H49" s="35">
        <f t="shared" si="1"/>
        <v>1835455.700128205</v>
      </c>
      <c r="I49" s="490">
        <f t="shared" si="4"/>
        <v>367091.140025641</v>
      </c>
      <c r="J49" s="489">
        <f t="shared" si="2"/>
        <v>2202546.840153846</v>
      </c>
    </row>
    <row r="50" spans="1:10" ht="19.5" customHeight="1">
      <c r="A50" s="15" t="s">
        <v>21</v>
      </c>
      <c r="B50" s="21" t="s">
        <v>69</v>
      </c>
      <c r="C50" s="15" t="s">
        <v>582</v>
      </c>
      <c r="D50" s="496">
        <f>VLOOKUP(B50,nhâncông!B72:$G$90,6,0)</f>
        <v>2089277.9999999995</v>
      </c>
      <c r="E50" s="35">
        <f>VLOOKUP(B50,Dungcu_C_BQK!B43:$E$47,4,0)</f>
        <v>8223.390076923079</v>
      </c>
      <c r="F50" s="35">
        <f>VLOOKUP(B50,Thietbi_C_CTTVMT!B7:$I$84,8,0)</f>
        <v>70495.75</v>
      </c>
      <c r="G50" s="35">
        <f>Vatlieu_C_BQK!E31</f>
        <v>573010.2000000001</v>
      </c>
      <c r="H50" s="35">
        <f t="shared" si="1"/>
        <v>2741007.340076923</v>
      </c>
      <c r="I50" s="490">
        <f t="shared" si="4"/>
        <v>548201.4680153846</v>
      </c>
      <c r="J50" s="489">
        <f t="shared" si="2"/>
        <v>3289208.8080923073</v>
      </c>
    </row>
    <row r="51" spans="1:10" ht="19.5" customHeight="1">
      <c r="A51" s="15" t="s">
        <v>23</v>
      </c>
      <c r="B51" s="21" t="s">
        <v>167</v>
      </c>
      <c r="C51" s="15" t="s">
        <v>550</v>
      </c>
      <c r="D51" s="496">
        <f>VLOOKUP(B51,nhâncông!B73:$G$90,6,0)</f>
        <v>10446389.999999998</v>
      </c>
      <c r="E51" s="35">
        <f>VLOOKUP(B51,Dungcu_C_BQK!B44:$E$47,4,0)</f>
        <v>24670.170230769236</v>
      </c>
      <c r="F51" s="35">
        <f>VLOOKUP(B51,Thietbi_C_CTTVMT!B8:$I$84,8,0)</f>
        <v>424239</v>
      </c>
      <c r="G51" s="35">
        <f>Vatlieu_C_BQK!E32</f>
        <v>2865051.0000000005</v>
      </c>
      <c r="H51" s="35">
        <f t="shared" si="1"/>
        <v>13760350.170230767</v>
      </c>
      <c r="I51" s="490">
        <f t="shared" si="4"/>
        <v>2752070.0340461535</v>
      </c>
      <c r="J51" s="489">
        <f t="shared" si="2"/>
        <v>16512420.20427692</v>
      </c>
    </row>
    <row r="52" spans="1:10" ht="19.5" customHeight="1">
      <c r="A52" s="15" t="s">
        <v>24</v>
      </c>
      <c r="B52" s="21" t="s">
        <v>168</v>
      </c>
      <c r="C52" s="15" t="s">
        <v>550</v>
      </c>
      <c r="D52" s="496">
        <f>VLOOKUP(B52,nhâncông!B74:$G$90,6,0)</f>
        <v>3482129.9999999995</v>
      </c>
      <c r="E52" s="35">
        <f>VLOOKUP(B52,Dungcu_C_BQK!B45:$E$47,4,0)</f>
        <v>24670.170230769236</v>
      </c>
      <c r="F52" s="35">
        <f>VLOOKUP(B52,Thietbi_C_CTTVMT!B9:$I$84,8,0)</f>
        <v>202703</v>
      </c>
      <c r="G52" s="35">
        <f>Vatlieu_C_BQK!E33</f>
        <v>955017.0000000001</v>
      </c>
      <c r="H52" s="35">
        <f t="shared" si="1"/>
        <v>4664520.170230769</v>
      </c>
      <c r="I52" s="490">
        <f t="shared" si="4"/>
        <v>932904.0340461538</v>
      </c>
      <c r="J52" s="489">
        <f t="shared" si="2"/>
        <v>5597424.204276922</v>
      </c>
    </row>
    <row r="53" spans="1:10" ht="19.5" customHeight="1">
      <c r="A53" s="15" t="s">
        <v>38</v>
      </c>
      <c r="B53" s="21" t="s">
        <v>169</v>
      </c>
      <c r="C53" s="15" t="s">
        <v>550</v>
      </c>
      <c r="D53" s="496">
        <f>VLOOKUP(B53,nhâncông!B75:$G$90,6,0)</f>
        <v>10446389.999999998</v>
      </c>
      <c r="E53" s="35">
        <f>VLOOKUP(B53,Dungcu_C_BQK!B46:$E$47,4,0)</f>
        <v>74010.51069230771</v>
      </c>
      <c r="F53" s="35">
        <f>VLOOKUP(B53,Thietbi_C_CTTVMT!B10:$I$84,8,0)</f>
        <v>761641</v>
      </c>
      <c r="G53" s="35">
        <f>Vatlieu_C_BQK!E34</f>
        <v>2865051.0000000005</v>
      </c>
      <c r="H53" s="35">
        <f t="shared" si="1"/>
        <v>14147092.510692306</v>
      </c>
      <c r="I53" s="490">
        <f t="shared" si="4"/>
        <v>2829418.5021384615</v>
      </c>
      <c r="J53" s="489">
        <f t="shared" si="2"/>
        <v>16976511.012830768</v>
      </c>
    </row>
    <row r="54" spans="1:10" ht="19.5" customHeight="1">
      <c r="A54" s="15" t="s">
        <v>39</v>
      </c>
      <c r="B54" s="21" t="s">
        <v>170</v>
      </c>
      <c r="C54" s="15" t="s">
        <v>551</v>
      </c>
      <c r="D54" s="496">
        <f>VLOOKUP(B54,nhâncông!B76:$G$90,6,0)</f>
        <v>34821.299999999996</v>
      </c>
      <c r="E54" s="35">
        <f>VLOOKUP(B54,Dungcu_C_BQK!B47:$E$47,4,0)</f>
        <v>740.1051069230771</v>
      </c>
      <c r="F54" s="35">
        <f>VLOOKUP(B54,Thietbi_C_CTTVMT!B11:$I$84,8,0)</f>
        <v>1305.25</v>
      </c>
      <c r="G54" s="35">
        <f>Vatlieu_C_BQK!E35</f>
        <v>9550.170000000002</v>
      </c>
      <c r="H54" s="35">
        <f t="shared" si="1"/>
        <v>46416.825106923076</v>
      </c>
      <c r="I54" s="490">
        <f t="shared" si="4"/>
        <v>9283.365021384616</v>
      </c>
      <c r="J54" s="489">
        <f t="shared" si="2"/>
        <v>55700.19012830769</v>
      </c>
    </row>
    <row r="55" spans="1:10" s="414" customFormat="1" ht="19.5" customHeight="1">
      <c r="A55" s="487">
        <v>2</v>
      </c>
      <c r="B55" s="498" t="s">
        <v>171</v>
      </c>
      <c r="C55" s="487"/>
      <c r="D55" s="497"/>
      <c r="E55" s="489"/>
      <c r="F55" s="489"/>
      <c r="G55" s="489"/>
      <c r="H55" s="489"/>
      <c r="I55" s="490"/>
      <c r="J55" s="489"/>
    </row>
    <row r="56" spans="1:10" ht="19.5" customHeight="1">
      <c r="A56" s="15" t="s">
        <v>13</v>
      </c>
      <c r="B56" s="21" t="s">
        <v>172</v>
      </c>
      <c r="C56" s="15" t="s">
        <v>550</v>
      </c>
      <c r="D56" s="496">
        <f>VLOOKUP(B56,nhâncông!B78:$G$90,6,0)</f>
        <v>1392851.9999999998</v>
      </c>
      <c r="E56" s="35">
        <f>VLOOKUP(B56,Dungcu_C_BSTL!$B$40:$E$47,4,0)</f>
        <v>35379.75961538462</v>
      </c>
      <c r="F56" s="35">
        <f>VLOOKUP(B56,Thietbi_C_CTTVMT!B13:$I$84,8,0)</f>
        <v>23494.5</v>
      </c>
      <c r="G56" s="464">
        <f>Vatlieu_C_BSTL!E21</f>
        <v>4314016.800000001</v>
      </c>
      <c r="H56" s="35">
        <f t="shared" si="1"/>
        <v>5765743.059615385</v>
      </c>
      <c r="I56" s="490">
        <f aca="true" t="shared" si="5" ref="I56:I62">H56*$I$8</f>
        <v>1153148.611923077</v>
      </c>
      <c r="J56" s="489">
        <f t="shared" si="2"/>
        <v>6918891.671538462</v>
      </c>
    </row>
    <row r="57" spans="1:10" ht="19.5" customHeight="1">
      <c r="A57" s="15" t="s">
        <v>14</v>
      </c>
      <c r="B57" s="21" t="s">
        <v>173</v>
      </c>
      <c r="C57" s="15" t="s">
        <v>550</v>
      </c>
      <c r="D57" s="496">
        <f>VLOOKUP(B57,nhâncông!B79:$G$90,6,0)</f>
        <v>348212.99999999994</v>
      </c>
      <c r="E57" s="35">
        <f>VLOOKUP(B57,Dungcu_C_BSTL!$B$40:$E$47,4,0)</f>
        <v>17689.87980769231</v>
      </c>
      <c r="F57" s="35">
        <f>VLOOKUP(B57,Thietbi_C_CTTVMT!B14:$I$84,8,0)</f>
        <v>26231.25</v>
      </c>
      <c r="G57" s="35">
        <f>Vatlieu_C_BSTL!E22</f>
        <v>1078504.2000000002</v>
      </c>
      <c r="H57" s="35">
        <f t="shared" si="1"/>
        <v>1470638.3298076924</v>
      </c>
      <c r="I57" s="490">
        <f t="shared" si="5"/>
        <v>294127.6659615385</v>
      </c>
      <c r="J57" s="489">
        <f t="shared" si="2"/>
        <v>1764765.9957692309</v>
      </c>
    </row>
    <row r="58" spans="1:10" ht="19.5" customHeight="1">
      <c r="A58" s="15" t="s">
        <v>15</v>
      </c>
      <c r="B58" s="21" t="s">
        <v>174</v>
      </c>
      <c r="C58" s="15" t="s">
        <v>550</v>
      </c>
      <c r="D58" s="496">
        <f>VLOOKUP(B58,nhâncông!B80:$G$90,6,0)</f>
        <v>696425.9999999999</v>
      </c>
      <c r="E58" s="35">
        <f>VLOOKUP(B58,Dungcu_C_BSTL!$B$40:$E$47,4,0)</f>
        <v>17689.87980769231</v>
      </c>
      <c r="F58" s="35">
        <f>VLOOKUP(B58,Thietbi_C_CTTVMT!B15:$I$84,8,0)</f>
        <v>23494.5</v>
      </c>
      <c r="G58" s="35">
        <f>Vatlieu_C_BSTL!E23</f>
        <v>2157008.4000000004</v>
      </c>
      <c r="H58" s="35">
        <f t="shared" si="1"/>
        <v>2894618.7798076924</v>
      </c>
      <c r="I58" s="490">
        <f t="shared" si="5"/>
        <v>578923.7559615385</v>
      </c>
      <c r="J58" s="489">
        <f t="shared" si="2"/>
        <v>3473542.5357692307</v>
      </c>
    </row>
    <row r="59" spans="1:10" ht="19.5" customHeight="1">
      <c r="A59" s="15" t="s">
        <v>25</v>
      </c>
      <c r="B59" s="21" t="s">
        <v>175</v>
      </c>
      <c r="C59" s="15" t="s">
        <v>555</v>
      </c>
      <c r="D59" s="496">
        <f>VLOOKUP(B59,nhâncông!B81:$G$90,6,0)</f>
        <v>69642.59999999999</v>
      </c>
      <c r="E59" s="35">
        <f>VLOOKUP(B59,Dungcu_C_BSTL!$B$40:$E$47,4,0)</f>
        <v>1768.987980769231</v>
      </c>
      <c r="F59" s="35">
        <f>VLOOKUP(B59,Thietbi_C_CTTVMT!B16:$I$84,8,0)</f>
        <v>2336.75</v>
      </c>
      <c r="G59" s="35">
        <f>Vatlieu_C_BSTL!E24</f>
        <v>215700.84000000005</v>
      </c>
      <c r="H59" s="35">
        <f t="shared" si="1"/>
        <v>289449.1779807693</v>
      </c>
      <c r="I59" s="490">
        <f t="shared" si="5"/>
        <v>57889.83559615386</v>
      </c>
      <c r="J59" s="489">
        <f t="shared" si="2"/>
        <v>347339.0135769232</v>
      </c>
    </row>
    <row r="60" spans="1:10" ht="19.5" customHeight="1">
      <c r="A60" s="15" t="s">
        <v>47</v>
      </c>
      <c r="B60" s="21" t="s">
        <v>177</v>
      </c>
      <c r="C60" s="15" t="s">
        <v>550</v>
      </c>
      <c r="D60" s="496">
        <f>VLOOKUP(B60,nhâncông!B82:$G$90,6,0)</f>
        <v>696425.9999999999</v>
      </c>
      <c r="E60" s="35">
        <f>VLOOKUP(B60,Dungcu_C_BSTL!$B$40:$E$47,4,0)</f>
        <v>1768.987980769231</v>
      </c>
      <c r="F60" s="35">
        <f>VLOOKUP(B60,Thietbi_C_CTTVMT!B17:$I$84,8,0)</f>
        <v>23494.5</v>
      </c>
      <c r="G60" s="35">
        <f>Vatlieu_C_BSTL!E25</f>
        <v>2157008.4000000004</v>
      </c>
      <c r="H60" s="35">
        <f t="shared" si="1"/>
        <v>2878697.8879807694</v>
      </c>
      <c r="I60" s="490">
        <f t="shared" si="5"/>
        <v>575739.577596154</v>
      </c>
      <c r="J60" s="489">
        <f t="shared" si="2"/>
        <v>3454437.4655769235</v>
      </c>
    </row>
    <row r="61" spans="1:10" ht="19.5" customHeight="1">
      <c r="A61" s="15" t="s">
        <v>53</v>
      </c>
      <c r="B61" s="21" t="s">
        <v>537</v>
      </c>
      <c r="C61" s="15" t="s">
        <v>550</v>
      </c>
      <c r="D61" s="496">
        <f>nhâncông!G83</f>
        <v>696425.9999999999</v>
      </c>
      <c r="E61" s="35">
        <f>VLOOKUP(B61,Dungcu_C_BSTL!$B$40:$E$47,4,0)</f>
        <v>1768.987980769231</v>
      </c>
      <c r="F61" s="35">
        <f>VLOOKUP(B61,Thietbi_C_CTTVMT!B18:$I$84,8,0)</f>
        <v>23494.5</v>
      </c>
      <c r="G61" s="35">
        <f>Vatlieu_C_BSTL!E26</f>
        <v>2157008.4000000004</v>
      </c>
      <c r="H61" s="35">
        <f t="shared" si="1"/>
        <v>2878697.8879807694</v>
      </c>
      <c r="I61" s="490">
        <f t="shared" si="5"/>
        <v>575739.577596154</v>
      </c>
      <c r="J61" s="489">
        <f t="shared" si="2"/>
        <v>3454437.4655769235</v>
      </c>
    </row>
    <row r="62" spans="1:10" ht="19.5" customHeight="1">
      <c r="A62" s="15" t="s">
        <v>54</v>
      </c>
      <c r="B62" s="21" t="s">
        <v>179</v>
      </c>
      <c r="C62" s="15" t="s">
        <v>550</v>
      </c>
      <c r="D62" s="496">
        <f>VLOOKUP(B62,nhâncông!B84:$G$90,6,0)</f>
        <v>1392851.9999999998</v>
      </c>
      <c r="E62" s="35">
        <f>Dungcu_C_BSTL!E47</f>
        <v>3537.975961538462</v>
      </c>
      <c r="F62" s="35">
        <f>VLOOKUP(B62,Thietbi_C_CTTVMT!B18:$I$84,8,0)</f>
        <v>46979.25</v>
      </c>
      <c r="G62" s="35">
        <f>Vatlieu_C_BSTL!E27</f>
        <v>4314016.800000001</v>
      </c>
      <c r="H62" s="35">
        <f t="shared" si="1"/>
        <v>5757386.025961539</v>
      </c>
      <c r="I62" s="490">
        <f t="shared" si="5"/>
        <v>1151477.2051923077</v>
      </c>
      <c r="J62" s="489">
        <f t="shared" si="2"/>
        <v>6908863.231153847</v>
      </c>
    </row>
    <row r="63" spans="1:10" s="414" customFormat="1" ht="19.5" customHeight="1">
      <c r="A63" s="487">
        <v>3</v>
      </c>
      <c r="B63" s="498" t="s">
        <v>180</v>
      </c>
      <c r="C63" s="487"/>
      <c r="D63" s="497"/>
      <c r="E63" s="489"/>
      <c r="F63" s="489"/>
      <c r="G63" s="489"/>
      <c r="H63" s="489"/>
      <c r="I63" s="490"/>
      <c r="J63" s="489"/>
    </row>
    <row r="64" spans="1:10" ht="19.5" customHeight="1">
      <c r="A64" s="15" t="s">
        <v>19</v>
      </c>
      <c r="B64" s="21" t="s">
        <v>181</v>
      </c>
      <c r="C64" s="15" t="s">
        <v>550</v>
      </c>
      <c r="D64" s="496">
        <f>VLOOKUP(B64,nhâncông!B86:$G$90,6,0)</f>
        <v>2785703.9999999995</v>
      </c>
      <c r="E64" s="35">
        <f>Dungcu_C_QLBĐ!E38</f>
        <v>145885.28525641025</v>
      </c>
      <c r="F64" s="35">
        <f>VLOOKUP(B64,Thietbi_C_CTTVMT!B21:$I$84,8,0)</f>
        <v>305774.4</v>
      </c>
      <c r="G64" s="35">
        <f>Vatlieu_C_QLBĐTV!E18</f>
        <v>1453172.4000000001</v>
      </c>
      <c r="H64" s="35">
        <f t="shared" si="1"/>
        <v>4690536.08525641</v>
      </c>
      <c r="I64" s="490">
        <f>H64*$I$8</f>
        <v>938107.2170512821</v>
      </c>
      <c r="J64" s="489">
        <f t="shared" si="2"/>
        <v>5628643.302307691</v>
      </c>
    </row>
    <row r="65" spans="1:10" ht="19.5" customHeight="1">
      <c r="A65" s="15" t="s">
        <v>20</v>
      </c>
      <c r="B65" s="21" t="s">
        <v>182</v>
      </c>
      <c r="C65" s="15" t="s">
        <v>550</v>
      </c>
      <c r="D65" s="496">
        <f>VLOOKUP(B65,nhâncông!B87:$G$90,6,0)</f>
        <v>2785703.9999999995</v>
      </c>
      <c r="E65" s="35">
        <f>Dungcu_C_QLBĐ!E39</f>
        <v>145885.28525641025</v>
      </c>
      <c r="F65" s="35">
        <f>VLOOKUP(B65,Thietbi_C_CTTVMT!B22:$I$84,8,0)</f>
        <v>312568.9</v>
      </c>
      <c r="G65" s="35">
        <f>Vatlieu_C_QLBĐTV!E19</f>
        <v>1453172.4000000001</v>
      </c>
      <c r="H65" s="35">
        <f t="shared" si="1"/>
        <v>4697330.58525641</v>
      </c>
      <c r="I65" s="490">
        <f>H65*$I$8</f>
        <v>939466.117051282</v>
      </c>
      <c r="J65" s="489">
        <f t="shared" si="2"/>
        <v>5636796.702307692</v>
      </c>
    </row>
    <row r="66" spans="1:10" ht="19.5" customHeight="1">
      <c r="A66" s="15" t="s">
        <v>101</v>
      </c>
      <c r="B66" s="21" t="s">
        <v>183</v>
      </c>
      <c r="C66" s="15" t="s">
        <v>550</v>
      </c>
      <c r="D66" s="496">
        <f>VLOOKUP(B66,nhâncông!B88:$G$90,6,0)</f>
        <v>2263384.4999999995</v>
      </c>
      <c r="E66" s="35">
        <f>Dungcu_C_QLBĐ!E40</f>
        <v>118167.08105769231</v>
      </c>
      <c r="F66" s="35">
        <f>VLOOKUP(B66,Thietbi_C_CTTVMT!B23:$I$84,8,0)</f>
        <v>76342.5</v>
      </c>
      <c r="G66" s="35">
        <f>Vatlieu_C_QLBĐTV!E20</f>
        <v>1177069.644</v>
      </c>
      <c r="H66" s="35">
        <f t="shared" si="1"/>
        <v>3634963.7250576923</v>
      </c>
      <c r="I66" s="490">
        <f>H66*$I$8</f>
        <v>726992.7450115385</v>
      </c>
      <c r="J66" s="489">
        <f t="shared" si="2"/>
        <v>4361956.4700692305</v>
      </c>
    </row>
    <row r="67" spans="1:10" ht="19.5" customHeight="1">
      <c r="A67" s="37" t="s">
        <v>74</v>
      </c>
      <c r="B67" s="38" t="s">
        <v>184</v>
      </c>
      <c r="C67" s="37" t="s">
        <v>550</v>
      </c>
      <c r="D67" s="496">
        <f>VLOOKUP(B67,nhâncông!B89:$G$90,6,0)</f>
        <v>139285.19999999998</v>
      </c>
      <c r="E67" s="35">
        <f>Dungcu_C_QLBĐ!E41</f>
        <v>5908.354052884616</v>
      </c>
      <c r="F67" s="35">
        <f>VLOOKUP(B67,Thietbi_C_CTTVMT!B24:$I$84,8,0)</f>
        <v>14409.85</v>
      </c>
      <c r="G67" s="35">
        <f>Vatlieu_C_QLBĐTV!E21</f>
        <v>72658.62000000001</v>
      </c>
      <c r="H67" s="35">
        <f t="shared" si="1"/>
        <v>232262.0240528846</v>
      </c>
      <c r="I67" s="490">
        <f>H67*$I$8</f>
        <v>46452.404810576925</v>
      </c>
      <c r="J67" s="489">
        <f t="shared" si="2"/>
        <v>278714.42886346154</v>
      </c>
    </row>
    <row r="68" spans="1:10" s="414" customFormat="1" ht="19.5" customHeight="1">
      <c r="A68" s="499">
        <v>4</v>
      </c>
      <c r="B68" s="500" t="s">
        <v>185</v>
      </c>
      <c r="C68" s="501"/>
      <c r="D68" s="502">
        <f>nhâncông!G90</f>
        <v>348212.99999999994</v>
      </c>
      <c r="E68" s="489">
        <f>Dungcu_C_QLBĐ!E41</f>
        <v>5908.354052884616</v>
      </c>
      <c r="F68" s="489">
        <f>VLOOKUP(B68,Thietbi_C_CTTVMT!B25:$I$84,8,0)</f>
        <v>11857.25</v>
      </c>
      <c r="G68" s="489">
        <f>Vatlieu_C_QLBĐTV!E21</f>
        <v>72658.62000000001</v>
      </c>
      <c r="H68" s="489">
        <f t="shared" si="1"/>
        <v>438637.22405288456</v>
      </c>
      <c r="I68" s="490">
        <f>H68*$I$8</f>
        <v>87727.44481057691</v>
      </c>
      <c r="J68" s="489">
        <f t="shared" si="2"/>
        <v>526364.6688634615</v>
      </c>
    </row>
  </sheetData>
  <sheetProtection/>
  <mergeCells count="12">
    <mergeCell ref="A1:B1"/>
    <mergeCell ref="A2:B2"/>
    <mergeCell ref="E1:J1"/>
    <mergeCell ref="E2:J2"/>
    <mergeCell ref="A4:J4"/>
    <mergeCell ref="A5:J5"/>
    <mergeCell ref="A6:J6"/>
    <mergeCell ref="A7:A8"/>
    <mergeCell ref="B7:B8"/>
    <mergeCell ref="C7:C8"/>
    <mergeCell ref="D7:H7"/>
    <mergeCell ref="J7:J8"/>
  </mergeCells>
  <printOptions horizontalCentered="1"/>
  <pageMargins left="0.45" right="0.45" top="0.75" bottom="0.75" header="0.3" footer="0.3"/>
  <pageSetup horizontalDpi="600" verticalDpi="600" orientation="landscape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22">
      <selection activeCell="D5" sqref="D5"/>
    </sheetView>
  </sheetViews>
  <sheetFormatPr defaultColWidth="9.140625" defaultRowHeight="19.5" customHeight="1"/>
  <cols>
    <col min="1" max="1" width="9.140625" style="136" customWidth="1"/>
    <col min="2" max="2" width="39.8515625" style="136" customWidth="1"/>
    <col min="3" max="3" width="9.140625" style="136" customWidth="1"/>
    <col min="4" max="4" width="12.7109375" style="136" customWidth="1"/>
    <col min="5" max="5" width="8.421875" style="136" customWidth="1"/>
    <col min="6" max="6" width="15.00390625" style="136" customWidth="1"/>
    <col min="7" max="7" width="10.421875" style="136" customWidth="1"/>
    <col min="8" max="8" width="12.00390625" style="136" customWidth="1"/>
    <col min="9" max="9" width="9.421875" style="136" customWidth="1"/>
    <col min="10" max="10" width="12.421875" style="136" customWidth="1"/>
    <col min="11" max="16384" width="9.140625" style="136" customWidth="1"/>
  </cols>
  <sheetData>
    <row r="1" spans="1:6" ht="19.5" customHeight="1">
      <c r="A1" s="449" t="s">
        <v>243</v>
      </c>
      <c r="B1" s="449"/>
      <c r="C1" s="449"/>
      <c r="D1" s="449"/>
      <c r="E1" s="449"/>
      <c r="F1" s="449"/>
    </row>
    <row r="2" spans="1:6" ht="19.5" customHeight="1">
      <c r="A2" s="449" t="s">
        <v>585</v>
      </c>
      <c r="B2" s="449"/>
      <c r="C2" s="449"/>
      <c r="D2" s="449"/>
      <c r="E2" s="449"/>
      <c r="F2" s="449"/>
    </row>
    <row r="3" spans="1:10" ht="19.5" customHeight="1">
      <c r="A3" s="453" t="s">
        <v>238</v>
      </c>
      <c r="B3" s="453" t="s">
        <v>429</v>
      </c>
      <c r="C3" s="453" t="s">
        <v>192</v>
      </c>
      <c r="D3" s="453" t="s">
        <v>194</v>
      </c>
      <c r="E3" s="451" t="s">
        <v>459</v>
      </c>
      <c r="F3" s="451"/>
      <c r="G3" s="451" t="s">
        <v>134</v>
      </c>
      <c r="H3" s="451"/>
      <c r="I3" s="452" t="s">
        <v>518</v>
      </c>
      <c r="J3" s="452"/>
    </row>
    <row r="4" spans="1:10" ht="19.5" customHeight="1">
      <c r="A4" s="454"/>
      <c r="B4" s="454"/>
      <c r="C4" s="454"/>
      <c r="D4" s="454"/>
      <c r="E4" s="307" t="s">
        <v>245</v>
      </c>
      <c r="F4" s="183" t="s">
        <v>197</v>
      </c>
      <c r="G4" s="307" t="s">
        <v>245</v>
      </c>
      <c r="H4" s="183" t="s">
        <v>197</v>
      </c>
      <c r="I4" s="307" t="s">
        <v>245</v>
      </c>
      <c r="J4" s="183" t="s">
        <v>197</v>
      </c>
    </row>
    <row r="5" spans="1:10" ht="19.5" customHeight="1">
      <c r="A5" s="312">
        <v>1</v>
      </c>
      <c r="B5" s="313" t="s">
        <v>430</v>
      </c>
      <c r="C5" s="312" t="s">
        <v>431</v>
      </c>
      <c r="D5" s="308">
        <f>Vatlieu_A_TN_KT_BG_BC!D5</f>
        <v>3000</v>
      </c>
      <c r="E5" s="439">
        <v>2</v>
      </c>
      <c r="F5" s="195">
        <f>D5*E5</f>
        <v>6000</v>
      </c>
      <c r="G5" s="439">
        <v>2</v>
      </c>
      <c r="H5" s="195">
        <f>D5*G5</f>
        <v>6000</v>
      </c>
      <c r="I5" s="439">
        <v>1</v>
      </c>
      <c r="J5" s="195">
        <f>D5*I5</f>
        <v>3000</v>
      </c>
    </row>
    <row r="6" spans="1:10" ht="19.5" customHeight="1">
      <c r="A6" s="312">
        <v>2</v>
      </c>
      <c r="B6" s="313" t="s">
        <v>432</v>
      </c>
      <c r="C6" s="312" t="s">
        <v>431</v>
      </c>
      <c r="D6" s="308">
        <f>Vatlieu_A_TN_KT_BG_BC!D6</f>
        <v>3000</v>
      </c>
      <c r="E6" s="439">
        <v>5</v>
      </c>
      <c r="F6" s="195">
        <f aca="true" t="shared" si="0" ref="F6:F21">D6*E6</f>
        <v>15000</v>
      </c>
      <c r="G6" s="439">
        <v>5</v>
      </c>
      <c r="H6" s="195">
        <f aca="true" t="shared" si="1" ref="H6:H19">D6*G6</f>
        <v>15000</v>
      </c>
      <c r="I6" s="439">
        <v>1</v>
      </c>
      <c r="J6" s="195">
        <f aca="true" t="shared" si="2" ref="J6:J21">D6*I6</f>
        <v>3000</v>
      </c>
    </row>
    <row r="7" spans="1:10" ht="19.5" customHeight="1">
      <c r="A7" s="312">
        <v>3</v>
      </c>
      <c r="B7" s="313" t="s">
        <v>433</v>
      </c>
      <c r="C7" s="312" t="s">
        <v>431</v>
      </c>
      <c r="D7" s="308">
        <f>Vatlieu_A_TN_KT_BG_BC!D7</f>
        <v>5500</v>
      </c>
      <c r="E7" s="439">
        <v>1</v>
      </c>
      <c r="F7" s="195">
        <f t="shared" si="0"/>
        <v>5500</v>
      </c>
      <c r="G7" s="439">
        <v>1</v>
      </c>
      <c r="H7" s="195">
        <f t="shared" si="1"/>
        <v>5500</v>
      </c>
      <c r="I7" s="440"/>
      <c r="J7" s="195">
        <f t="shared" si="2"/>
        <v>0</v>
      </c>
    </row>
    <row r="8" spans="1:10" ht="19.5" customHeight="1">
      <c r="A8" s="312">
        <v>4</v>
      </c>
      <c r="B8" s="314" t="s">
        <v>434</v>
      </c>
      <c r="C8" s="312" t="s">
        <v>435</v>
      </c>
      <c r="D8" s="308">
        <f>Vatlieu_A_TN_KT_BG_BC!D8</f>
        <v>80000</v>
      </c>
      <c r="E8" s="439">
        <v>1</v>
      </c>
      <c r="F8" s="195">
        <f t="shared" si="0"/>
        <v>80000</v>
      </c>
      <c r="G8" s="439">
        <v>1</v>
      </c>
      <c r="H8" s="195">
        <f t="shared" si="1"/>
        <v>80000</v>
      </c>
      <c r="I8" s="440"/>
      <c r="J8" s="195">
        <f t="shared" si="2"/>
        <v>0</v>
      </c>
    </row>
    <row r="9" spans="1:10" ht="19.5" customHeight="1">
      <c r="A9" s="312">
        <v>5</v>
      </c>
      <c r="B9" s="314" t="s">
        <v>512</v>
      </c>
      <c r="C9" s="312" t="s">
        <v>513</v>
      </c>
      <c r="D9" s="308">
        <v>5000</v>
      </c>
      <c r="E9" s="439">
        <v>10</v>
      </c>
      <c r="F9" s="195">
        <f t="shared" si="0"/>
        <v>50000</v>
      </c>
      <c r="G9" s="439">
        <v>10</v>
      </c>
      <c r="H9" s="195">
        <f t="shared" si="1"/>
        <v>50000</v>
      </c>
      <c r="I9" s="440"/>
      <c r="J9" s="195">
        <f t="shared" si="2"/>
        <v>0</v>
      </c>
    </row>
    <row r="10" spans="1:10" ht="19.5" customHeight="1">
      <c r="A10" s="312">
        <v>6</v>
      </c>
      <c r="B10" s="313" t="s">
        <v>436</v>
      </c>
      <c r="C10" s="312" t="s">
        <v>437</v>
      </c>
      <c r="D10" s="308">
        <f>Vatlieu_A_TN_KT_BG_BC!D9</f>
        <v>19500</v>
      </c>
      <c r="E10" s="439">
        <v>5</v>
      </c>
      <c r="F10" s="195">
        <f t="shared" si="0"/>
        <v>97500</v>
      </c>
      <c r="G10" s="439">
        <v>5</v>
      </c>
      <c r="H10" s="195">
        <f t="shared" si="1"/>
        <v>97500</v>
      </c>
      <c r="I10" s="440"/>
      <c r="J10" s="195">
        <f t="shared" si="2"/>
        <v>0</v>
      </c>
    </row>
    <row r="11" spans="1:10" ht="19.5" customHeight="1">
      <c r="A11" s="312">
        <v>7</v>
      </c>
      <c r="B11" s="313" t="s">
        <v>514</v>
      </c>
      <c r="C11" s="312" t="s">
        <v>431</v>
      </c>
      <c r="D11" s="308">
        <f>Vatlieu_A_TN_KT_BG_BC!D10</f>
        <v>1450000</v>
      </c>
      <c r="E11" s="439">
        <v>0.1</v>
      </c>
      <c r="F11" s="195">
        <f t="shared" si="0"/>
        <v>145000</v>
      </c>
      <c r="G11" s="439">
        <v>0.1</v>
      </c>
      <c r="H11" s="195">
        <f t="shared" si="1"/>
        <v>145000</v>
      </c>
      <c r="I11" s="439">
        <v>1</v>
      </c>
      <c r="J11" s="195">
        <f t="shared" si="2"/>
        <v>1450000</v>
      </c>
    </row>
    <row r="12" spans="1:10" ht="19.5" customHeight="1">
      <c r="A12" s="312">
        <v>8</v>
      </c>
      <c r="B12" s="313" t="s">
        <v>439</v>
      </c>
      <c r="C12" s="312" t="s">
        <v>431</v>
      </c>
      <c r="D12" s="308">
        <f>Vatlieu_A_TN_KT_BG_BC!D11</f>
        <v>1477300</v>
      </c>
      <c r="E12" s="439">
        <v>0.1</v>
      </c>
      <c r="F12" s="195">
        <f t="shared" si="0"/>
        <v>147730</v>
      </c>
      <c r="G12" s="439">
        <v>0.1</v>
      </c>
      <c r="H12" s="195">
        <f t="shared" si="1"/>
        <v>147730</v>
      </c>
      <c r="I12" s="440"/>
      <c r="J12" s="195">
        <f t="shared" si="2"/>
        <v>0</v>
      </c>
    </row>
    <row r="13" spans="1:10" ht="19.5" customHeight="1">
      <c r="A13" s="312">
        <v>9</v>
      </c>
      <c r="B13" s="313" t="s">
        <v>440</v>
      </c>
      <c r="C13" s="312" t="s">
        <v>437</v>
      </c>
      <c r="D13" s="308">
        <f>Vatlieu_A_TN_KT_BG_BC!D12</f>
        <v>12000</v>
      </c>
      <c r="E13" s="439">
        <v>1</v>
      </c>
      <c r="F13" s="195">
        <f t="shared" si="0"/>
        <v>12000</v>
      </c>
      <c r="G13" s="439">
        <v>1</v>
      </c>
      <c r="H13" s="195">
        <f t="shared" si="1"/>
        <v>12000</v>
      </c>
      <c r="I13" s="440"/>
      <c r="J13" s="195">
        <f t="shared" si="2"/>
        <v>0</v>
      </c>
    </row>
    <row r="14" spans="1:10" ht="19.5" customHeight="1">
      <c r="A14" s="312">
        <v>10</v>
      </c>
      <c r="B14" s="313" t="s">
        <v>441</v>
      </c>
      <c r="C14" s="312" t="s">
        <v>442</v>
      </c>
      <c r="D14" s="308">
        <f>Vatlieu_A_TN_KT_BG_BC!D13</f>
        <v>8500</v>
      </c>
      <c r="E14" s="439">
        <v>0.2</v>
      </c>
      <c r="F14" s="195">
        <f t="shared" si="0"/>
        <v>1700</v>
      </c>
      <c r="G14" s="439">
        <v>0.2</v>
      </c>
      <c r="H14" s="195">
        <f t="shared" si="1"/>
        <v>1700</v>
      </c>
      <c r="I14" s="440"/>
      <c r="J14" s="195">
        <f t="shared" si="2"/>
        <v>0</v>
      </c>
    </row>
    <row r="15" spans="1:10" ht="19.5" customHeight="1">
      <c r="A15" s="312">
        <v>11</v>
      </c>
      <c r="B15" s="313" t="s">
        <v>443</v>
      </c>
      <c r="C15" s="312" t="s">
        <v>442</v>
      </c>
      <c r="D15" s="308">
        <f>Vatlieu_A_TN_KT_BG_BC!D14</f>
        <v>8500</v>
      </c>
      <c r="E15" s="439">
        <v>0.02</v>
      </c>
      <c r="F15" s="195">
        <f t="shared" si="0"/>
        <v>170</v>
      </c>
      <c r="G15" s="439">
        <v>0.02</v>
      </c>
      <c r="H15" s="195">
        <f t="shared" si="1"/>
        <v>170</v>
      </c>
      <c r="I15" s="440"/>
      <c r="J15" s="195">
        <f t="shared" si="2"/>
        <v>0</v>
      </c>
    </row>
    <row r="16" spans="1:10" ht="19.5" customHeight="1">
      <c r="A16" s="312">
        <v>12</v>
      </c>
      <c r="B16" s="313" t="s">
        <v>444</v>
      </c>
      <c r="C16" s="312" t="s">
        <v>445</v>
      </c>
      <c r="D16" s="308">
        <f>Vatlieu_A_TN_KT_BG_BC!D15</f>
        <v>39500</v>
      </c>
      <c r="E16" s="439">
        <v>0.5</v>
      </c>
      <c r="F16" s="195">
        <f t="shared" si="0"/>
        <v>19750</v>
      </c>
      <c r="G16" s="439">
        <v>0.5</v>
      </c>
      <c r="H16" s="195">
        <f t="shared" si="1"/>
        <v>19750</v>
      </c>
      <c r="I16" s="440"/>
      <c r="J16" s="195">
        <f t="shared" si="2"/>
        <v>0</v>
      </c>
    </row>
    <row r="17" spans="1:10" ht="19.5" customHeight="1">
      <c r="A17" s="312">
        <v>13</v>
      </c>
      <c r="B17" s="313" t="s">
        <v>446</v>
      </c>
      <c r="C17" s="312" t="s">
        <v>431</v>
      </c>
      <c r="D17" s="308">
        <f>Vatlieu_A_TN_KT_BG_BC!D16</f>
        <v>13000</v>
      </c>
      <c r="E17" s="439">
        <v>0.1</v>
      </c>
      <c r="F17" s="195">
        <f t="shared" si="0"/>
        <v>1300</v>
      </c>
      <c r="G17" s="439">
        <v>0.1</v>
      </c>
      <c r="H17" s="195">
        <f t="shared" si="1"/>
        <v>1300</v>
      </c>
      <c r="I17" s="440"/>
      <c r="J17" s="195">
        <f t="shared" si="2"/>
        <v>0</v>
      </c>
    </row>
    <row r="18" spans="1:10" ht="19.5" customHeight="1">
      <c r="A18" s="312">
        <v>14</v>
      </c>
      <c r="B18" s="313" t="s">
        <v>447</v>
      </c>
      <c r="C18" s="312" t="s">
        <v>199</v>
      </c>
      <c r="D18" s="308">
        <f>Vatlieu_A_TN_KT_BG_BC!D17</f>
        <v>40000</v>
      </c>
      <c r="E18" s="439">
        <v>5</v>
      </c>
      <c r="F18" s="195">
        <f t="shared" si="0"/>
        <v>200000</v>
      </c>
      <c r="G18" s="439">
        <v>5</v>
      </c>
      <c r="H18" s="195">
        <f t="shared" si="1"/>
        <v>200000</v>
      </c>
      <c r="I18" s="439">
        <v>5</v>
      </c>
      <c r="J18" s="195">
        <f t="shared" si="2"/>
        <v>200000</v>
      </c>
    </row>
    <row r="19" spans="1:10" ht="19.5" customHeight="1">
      <c r="A19" s="312">
        <v>15</v>
      </c>
      <c r="B19" s="313" t="s">
        <v>515</v>
      </c>
      <c r="C19" s="312" t="s">
        <v>435</v>
      </c>
      <c r="D19" s="315">
        <v>150000</v>
      </c>
      <c r="E19" s="439">
        <v>1</v>
      </c>
      <c r="F19" s="195">
        <f t="shared" si="0"/>
        <v>150000</v>
      </c>
      <c r="G19" s="439">
        <v>1</v>
      </c>
      <c r="H19" s="195">
        <f t="shared" si="1"/>
        <v>150000</v>
      </c>
      <c r="I19" s="440"/>
      <c r="J19" s="195">
        <f t="shared" si="2"/>
        <v>0</v>
      </c>
    </row>
    <row r="20" spans="1:10" ht="19.5" customHeight="1">
      <c r="A20" s="312">
        <v>16</v>
      </c>
      <c r="B20" s="313" t="s">
        <v>208</v>
      </c>
      <c r="C20" s="312" t="s">
        <v>199</v>
      </c>
      <c r="D20" s="308">
        <f>8000</f>
        <v>8000</v>
      </c>
      <c r="E20" s="439">
        <v>2</v>
      </c>
      <c r="F20" s="195">
        <f t="shared" si="0"/>
        <v>16000</v>
      </c>
      <c r="G20" s="441">
        <v>0</v>
      </c>
      <c r="H20" s="136">
        <v>0</v>
      </c>
      <c r="I20" s="440"/>
      <c r="J20" s="195">
        <f t="shared" si="2"/>
        <v>0</v>
      </c>
    </row>
    <row r="21" spans="1:10" ht="19.5" customHeight="1">
      <c r="A21" s="312">
        <v>17</v>
      </c>
      <c r="B21" s="313" t="s">
        <v>516</v>
      </c>
      <c r="C21" s="312" t="s">
        <v>199</v>
      </c>
      <c r="D21" s="315">
        <v>8000</v>
      </c>
      <c r="E21" s="439">
        <v>2</v>
      </c>
      <c r="F21" s="195">
        <f t="shared" si="0"/>
        <v>16000</v>
      </c>
      <c r="G21" s="439">
        <v>10</v>
      </c>
      <c r="H21" s="195">
        <f>D20*G21</f>
        <v>80000</v>
      </c>
      <c r="I21" s="440"/>
      <c r="J21" s="195">
        <f t="shared" si="2"/>
        <v>0</v>
      </c>
    </row>
    <row r="22" spans="1:10" ht="19.5" customHeight="1">
      <c r="A22" s="316"/>
      <c r="B22" s="318" t="s">
        <v>451</v>
      </c>
      <c r="C22" s="316"/>
      <c r="D22" s="316"/>
      <c r="E22" s="316"/>
      <c r="F22" s="316">
        <f>SUM(F5:F21)*1.08</f>
        <v>1040742.0000000001</v>
      </c>
      <c r="G22" s="316"/>
      <c r="H22" s="317">
        <f>SUM(H5:H21)*1.08</f>
        <v>1092582</v>
      </c>
      <c r="I22" s="316">
        <f>SUM(K5:K21)</f>
        <v>0</v>
      </c>
      <c r="J22" s="316">
        <f>SUM(J5:J21)*1.08</f>
        <v>1788480.0000000002</v>
      </c>
    </row>
    <row r="23" ht="19.5" customHeight="1">
      <c r="F23" s="221"/>
    </row>
    <row r="24" spans="1:5" ht="19.5" customHeight="1">
      <c r="A24" s="450" t="s">
        <v>557</v>
      </c>
      <c r="B24" s="450"/>
      <c r="C24" s="450"/>
      <c r="D24" s="450"/>
      <c r="E24" s="390"/>
    </row>
    <row r="26" spans="1:10" ht="19.5" customHeight="1">
      <c r="A26" s="133" t="s">
        <v>238</v>
      </c>
      <c r="B26" s="133" t="s">
        <v>239</v>
      </c>
      <c r="C26" s="133" t="s">
        <v>240</v>
      </c>
      <c r="D26" s="240" t="s">
        <v>197</v>
      </c>
      <c r="F26" s="43"/>
      <c r="G26" s="43"/>
      <c r="H26" s="43"/>
      <c r="I26" s="43"/>
      <c r="J26" s="43"/>
    </row>
    <row r="27" spans="1:10" s="43" customFormat="1" ht="19.5" customHeight="1">
      <c r="A27" s="133" t="s">
        <v>517</v>
      </c>
      <c r="B27" s="346" t="s">
        <v>459</v>
      </c>
      <c r="C27" s="133">
        <v>1</v>
      </c>
      <c r="D27" s="53">
        <f>F22</f>
        <v>1040742.0000000001</v>
      </c>
      <c r="F27" s="136"/>
      <c r="G27" s="136"/>
      <c r="H27" s="136"/>
      <c r="I27" s="136"/>
      <c r="J27" s="136"/>
    </row>
    <row r="28" spans="1:4" ht="19.5" customHeight="1">
      <c r="A28" s="96">
        <v>1</v>
      </c>
      <c r="B28" s="320" t="s">
        <v>69</v>
      </c>
      <c r="C28" s="96">
        <v>0.2</v>
      </c>
      <c r="D28" s="187">
        <f>$D$27*C28</f>
        <v>208148.40000000002</v>
      </c>
    </row>
    <row r="29" spans="1:4" ht="19.5" customHeight="1">
      <c r="A29" s="56">
        <v>2</v>
      </c>
      <c r="B29" s="59" t="s">
        <v>123</v>
      </c>
      <c r="C29" s="56">
        <v>0.15</v>
      </c>
      <c r="D29" s="155">
        <f>C29*D28</f>
        <v>31222.260000000002</v>
      </c>
    </row>
    <row r="30" spans="1:4" ht="19.5" customHeight="1">
      <c r="A30" s="56">
        <v>3</v>
      </c>
      <c r="B30" s="59" t="s">
        <v>125</v>
      </c>
      <c r="C30" s="56">
        <v>0.25</v>
      </c>
      <c r="D30" s="155">
        <f>C30*D29</f>
        <v>7805.5650000000005</v>
      </c>
    </row>
    <row r="31" spans="1:4" ht="33" customHeight="1">
      <c r="A31" s="56">
        <v>4</v>
      </c>
      <c r="B31" s="57" t="s">
        <v>128</v>
      </c>
      <c r="C31" s="56">
        <v>0.4</v>
      </c>
      <c r="D31" s="155">
        <f>C31*D27</f>
        <v>416296.80000000005</v>
      </c>
    </row>
    <row r="32" spans="1:4" ht="19.5" customHeight="1">
      <c r="A32" s="56" t="s">
        <v>104</v>
      </c>
      <c r="B32" s="57" t="s">
        <v>130</v>
      </c>
      <c r="C32" s="56">
        <v>0.2</v>
      </c>
      <c r="D32" s="155">
        <f>C32*D31</f>
        <v>83259.36000000002</v>
      </c>
    </row>
    <row r="33" spans="1:10" ht="19.5" customHeight="1">
      <c r="A33" s="56" t="s">
        <v>105</v>
      </c>
      <c r="B33" s="57" t="s">
        <v>132</v>
      </c>
      <c r="C33" s="56">
        <v>0.2</v>
      </c>
      <c r="D33" s="155">
        <f>C33*D31</f>
        <v>83259.36000000002</v>
      </c>
      <c r="F33" s="43"/>
      <c r="G33" s="43"/>
      <c r="H33" s="43"/>
      <c r="I33" s="43"/>
      <c r="J33" s="43"/>
    </row>
    <row r="34" spans="1:10" s="43" customFormat="1" ht="19.5" customHeight="1">
      <c r="A34" s="295" t="s">
        <v>522</v>
      </c>
      <c r="B34" s="59" t="s">
        <v>134</v>
      </c>
      <c r="C34" s="295">
        <v>1</v>
      </c>
      <c r="D34" s="46">
        <f>F22</f>
        <v>1040742.0000000001</v>
      </c>
      <c r="F34" s="136"/>
      <c r="G34" s="136"/>
      <c r="H34" s="136"/>
      <c r="I34" s="136"/>
      <c r="J34" s="136"/>
    </row>
    <row r="35" spans="1:4" ht="19.5" customHeight="1">
      <c r="A35" s="56">
        <v>1</v>
      </c>
      <c r="B35" s="59" t="s">
        <v>69</v>
      </c>
      <c r="C35" s="56">
        <v>0.2</v>
      </c>
      <c r="D35" s="155">
        <f>C35*D34</f>
        <v>208148.40000000002</v>
      </c>
    </row>
    <row r="36" spans="1:4" ht="19.5" customHeight="1">
      <c r="A36" s="56">
        <v>2</v>
      </c>
      <c r="B36" s="59" t="s">
        <v>123</v>
      </c>
      <c r="C36" s="56">
        <v>0.1</v>
      </c>
      <c r="D36" s="155">
        <f>C36*D34</f>
        <v>104074.20000000001</v>
      </c>
    </row>
    <row r="37" spans="1:4" ht="19.5" customHeight="1">
      <c r="A37" s="56">
        <v>3</v>
      </c>
      <c r="B37" s="59" t="s">
        <v>139</v>
      </c>
      <c r="C37" s="56">
        <v>0.3</v>
      </c>
      <c r="D37" s="155">
        <f>C37*D34</f>
        <v>312222.60000000003</v>
      </c>
    </row>
    <row r="38" spans="1:4" ht="19.5" customHeight="1">
      <c r="A38" s="56">
        <v>4</v>
      </c>
      <c r="B38" s="57" t="s">
        <v>142</v>
      </c>
      <c r="C38" s="56">
        <v>0.2</v>
      </c>
      <c r="D38" s="155">
        <f>C38*D34</f>
        <v>208148.40000000002</v>
      </c>
    </row>
    <row r="39" spans="1:10" ht="19.5" customHeight="1">
      <c r="A39" s="56">
        <v>5</v>
      </c>
      <c r="B39" s="59" t="s">
        <v>519</v>
      </c>
      <c r="C39" s="56">
        <v>0.2</v>
      </c>
      <c r="D39" s="155">
        <f>C39*D34</f>
        <v>208148.40000000002</v>
      </c>
      <c r="F39" s="43"/>
      <c r="G39" s="43"/>
      <c r="H39" s="43"/>
      <c r="I39" s="43"/>
      <c r="J39" s="43"/>
    </row>
    <row r="40" spans="1:10" s="43" customFormat="1" ht="19.5" customHeight="1">
      <c r="A40" s="295" t="s">
        <v>523</v>
      </c>
      <c r="B40" s="59" t="s">
        <v>520</v>
      </c>
      <c r="C40" s="295">
        <v>1</v>
      </c>
      <c r="D40" s="46">
        <f>J22</f>
        <v>1788480.0000000002</v>
      </c>
      <c r="F40" s="136"/>
      <c r="G40" s="136"/>
      <c r="H40" s="136"/>
      <c r="I40" s="136"/>
      <c r="J40" s="136"/>
    </row>
    <row r="41" spans="1:4" ht="19.5" customHeight="1">
      <c r="A41" s="56">
        <v>1</v>
      </c>
      <c r="B41" s="59" t="s">
        <v>147</v>
      </c>
      <c r="C41" s="56">
        <v>0.5</v>
      </c>
      <c r="D41" s="155">
        <f>$D$40*C41</f>
        <v>894240.0000000001</v>
      </c>
    </row>
    <row r="42" spans="1:4" ht="19.5" customHeight="1">
      <c r="A42" s="101">
        <v>2</v>
      </c>
      <c r="B42" s="102" t="s">
        <v>489</v>
      </c>
      <c r="C42" s="101">
        <v>0.25</v>
      </c>
      <c r="D42" s="155">
        <f>$D$40*C42</f>
        <v>447120.00000000006</v>
      </c>
    </row>
    <row r="43" spans="1:4" ht="28.5" customHeight="1">
      <c r="A43" s="321">
        <v>3</v>
      </c>
      <c r="B43" s="322" t="s">
        <v>521</v>
      </c>
      <c r="C43" s="321">
        <v>0.25</v>
      </c>
      <c r="D43" s="155">
        <f>$D$40*C43</f>
        <v>447120.00000000006</v>
      </c>
    </row>
    <row r="44" ht="33" customHeight="1"/>
  </sheetData>
  <sheetProtection/>
  <mergeCells count="10">
    <mergeCell ref="A24:D24"/>
    <mergeCell ref="A1:F1"/>
    <mergeCell ref="A2:F2"/>
    <mergeCell ref="G3:H3"/>
    <mergeCell ref="E3:F3"/>
    <mergeCell ref="I3:J3"/>
    <mergeCell ref="A3:A4"/>
    <mergeCell ref="B3:B4"/>
    <mergeCell ref="C3:C4"/>
    <mergeCell ref="D3:D4"/>
  </mergeCells>
  <printOptions horizontalCentered="1"/>
  <pageMargins left="0.2" right="0.2" top="0" bottom="0" header="0.3" footer="0.3"/>
  <pageSetup horizontalDpi="600" verticalDpi="600" orientation="landscape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E8" sqref="E8"/>
    </sheetView>
  </sheetViews>
  <sheetFormatPr defaultColWidth="9.140625" defaultRowHeight="19.5" customHeight="1"/>
  <cols>
    <col min="1" max="1" width="9.140625" style="136" customWidth="1"/>
    <col min="2" max="2" width="27.7109375" style="136" customWidth="1"/>
    <col min="3" max="4" width="9.140625" style="136" customWidth="1"/>
    <col min="5" max="5" width="12.140625" style="136" customWidth="1"/>
    <col min="6" max="6" width="12.7109375" style="136" customWidth="1"/>
    <col min="7" max="16384" width="9.140625" style="136" customWidth="1"/>
  </cols>
  <sheetData>
    <row r="1" spans="1:9" ht="19.5" customHeight="1">
      <c r="A1" s="449" t="s">
        <v>243</v>
      </c>
      <c r="B1" s="449"/>
      <c r="C1" s="449"/>
      <c r="D1" s="449"/>
      <c r="E1" s="449"/>
      <c r="F1" s="449"/>
      <c r="G1" s="311"/>
      <c r="H1" s="311"/>
      <c r="I1" s="311"/>
    </row>
    <row r="2" spans="1:9" ht="19.5" customHeight="1">
      <c r="A2" s="449" t="s">
        <v>584</v>
      </c>
      <c r="B2" s="449"/>
      <c r="C2" s="449"/>
      <c r="D2" s="449"/>
      <c r="E2" s="449"/>
      <c r="F2" s="449"/>
      <c r="G2" s="311"/>
      <c r="H2" s="311"/>
      <c r="I2" s="311"/>
    </row>
    <row r="4" spans="1:6" ht="19.5" customHeight="1">
      <c r="A4" s="133" t="s">
        <v>238</v>
      </c>
      <c r="B4" s="133" t="s">
        <v>429</v>
      </c>
      <c r="C4" s="133" t="s">
        <v>192</v>
      </c>
      <c r="D4" s="133" t="s">
        <v>245</v>
      </c>
      <c r="E4" s="133" t="s">
        <v>194</v>
      </c>
      <c r="F4" s="240" t="s">
        <v>197</v>
      </c>
    </row>
    <row r="5" spans="1:6" ht="19.5" customHeight="1">
      <c r="A5" s="96">
        <v>1</v>
      </c>
      <c r="B5" s="97" t="s">
        <v>502</v>
      </c>
      <c r="C5" s="96" t="s">
        <v>199</v>
      </c>
      <c r="D5" s="96">
        <v>0.75</v>
      </c>
      <c r="E5" s="196">
        <v>12000</v>
      </c>
      <c r="F5" s="98">
        <f>D5*E5</f>
        <v>9000</v>
      </c>
    </row>
    <row r="6" spans="1:6" ht="19.5" customHeight="1">
      <c r="A6" s="56">
        <v>2</v>
      </c>
      <c r="B6" s="57" t="s">
        <v>503</v>
      </c>
      <c r="C6" s="56" t="s">
        <v>504</v>
      </c>
      <c r="D6" s="56">
        <v>0.1</v>
      </c>
      <c r="E6" s="197">
        <v>20000</v>
      </c>
      <c r="F6" s="99">
        <f aca="true" t="shared" si="0" ref="F6:F11">D6*E6</f>
        <v>2000</v>
      </c>
    </row>
    <row r="7" spans="1:6" ht="19.5" customHeight="1">
      <c r="A7" s="56">
        <v>3</v>
      </c>
      <c r="B7" s="57" t="s">
        <v>505</v>
      </c>
      <c r="C7" s="56" t="s">
        <v>511</v>
      </c>
      <c r="D7" s="56">
        <v>0.1</v>
      </c>
      <c r="E7" s="197">
        <v>12000</v>
      </c>
      <c r="F7" s="99">
        <f t="shared" si="0"/>
        <v>1200</v>
      </c>
    </row>
    <row r="8" spans="1:6" ht="19.5" customHeight="1">
      <c r="A8" s="56">
        <v>4</v>
      </c>
      <c r="B8" s="57" t="s">
        <v>506</v>
      </c>
      <c r="C8" s="56" t="s">
        <v>504</v>
      </c>
      <c r="D8" s="56">
        <v>0.5</v>
      </c>
      <c r="E8" s="197">
        <v>650000</v>
      </c>
      <c r="F8" s="99">
        <f t="shared" si="0"/>
        <v>325000</v>
      </c>
    </row>
    <row r="9" spans="1:6" ht="19.5" customHeight="1">
      <c r="A9" s="56">
        <v>5</v>
      </c>
      <c r="B9" s="57" t="s">
        <v>507</v>
      </c>
      <c r="C9" s="56" t="s">
        <v>508</v>
      </c>
      <c r="D9" s="56">
        <v>0.2</v>
      </c>
      <c r="E9" s="197">
        <v>60000</v>
      </c>
      <c r="F9" s="99">
        <f t="shared" si="0"/>
        <v>12000</v>
      </c>
    </row>
    <row r="10" spans="1:6" ht="19.5" customHeight="1">
      <c r="A10" s="56">
        <v>6</v>
      </c>
      <c r="B10" s="57" t="s">
        <v>509</v>
      </c>
      <c r="C10" s="56" t="s">
        <v>508</v>
      </c>
      <c r="D10" s="56">
        <v>0.2</v>
      </c>
      <c r="E10" s="197">
        <v>100000</v>
      </c>
      <c r="F10" s="99">
        <f t="shared" si="0"/>
        <v>20000</v>
      </c>
    </row>
    <row r="11" spans="1:6" ht="19.5" customHeight="1">
      <c r="A11" s="101">
        <v>7</v>
      </c>
      <c r="B11" s="310" t="s">
        <v>510</v>
      </c>
      <c r="C11" s="101" t="s">
        <v>508</v>
      </c>
      <c r="D11" s="101">
        <v>0.1</v>
      </c>
      <c r="E11" s="198">
        <v>12000</v>
      </c>
      <c r="F11" s="104">
        <f t="shared" si="0"/>
        <v>1200</v>
      </c>
    </row>
    <row r="12" spans="1:6" ht="19.5" customHeight="1">
      <c r="A12" s="52"/>
      <c r="B12" s="309" t="s">
        <v>451</v>
      </c>
      <c r="C12" s="52"/>
      <c r="D12" s="52"/>
      <c r="E12" s="52"/>
      <c r="F12" s="195">
        <f>SUM(F5:F11)*1.08</f>
        <v>400032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4">
      <selection activeCell="D6" sqref="D6"/>
    </sheetView>
  </sheetViews>
  <sheetFormatPr defaultColWidth="9.140625" defaultRowHeight="19.5" customHeight="1"/>
  <cols>
    <col min="1" max="1" width="7.140625" style="0" customWidth="1"/>
    <col min="2" max="2" width="25.140625" style="0" customWidth="1"/>
    <col min="3" max="3" width="11.421875" style="0" customWidth="1"/>
    <col min="4" max="4" width="12.8515625" style="41" customWidth="1"/>
    <col min="5" max="6" width="13.28125" style="0" customWidth="1"/>
    <col min="8" max="8" width="12.00390625" style="0" customWidth="1"/>
    <col min="10" max="10" width="12.00390625" style="0" customWidth="1"/>
    <col min="11" max="11" width="16.7109375" style="0" customWidth="1"/>
    <col min="12" max="12" width="11.7109375" style="0" customWidth="1"/>
  </cols>
  <sheetData>
    <row r="1" spans="2:10" ht="19.5" customHeight="1">
      <c r="B1" s="449" t="s">
        <v>243</v>
      </c>
      <c r="C1" s="449"/>
      <c r="D1" s="449"/>
      <c r="E1" s="449"/>
      <c r="F1" s="449"/>
      <c r="G1" s="449"/>
      <c r="H1" s="449"/>
      <c r="I1" s="449"/>
      <c r="J1" s="449"/>
    </row>
    <row r="2" spans="2:10" ht="19.5" customHeight="1">
      <c r="B2" s="449" t="s">
        <v>501</v>
      </c>
      <c r="C2" s="449"/>
      <c r="D2" s="449"/>
      <c r="E2" s="449"/>
      <c r="F2" s="449"/>
      <c r="G2" s="449"/>
      <c r="H2" s="449"/>
      <c r="I2" s="449"/>
      <c r="J2" s="449"/>
    </row>
    <row r="3" spans="1:12" s="40" customFormat="1" ht="19.5" customHeight="1">
      <c r="A3" s="451" t="s">
        <v>238</v>
      </c>
      <c r="B3" s="451" t="s">
        <v>429</v>
      </c>
      <c r="C3" s="451" t="s">
        <v>192</v>
      </c>
      <c r="D3" s="455" t="s">
        <v>194</v>
      </c>
      <c r="E3" s="455" t="s">
        <v>196</v>
      </c>
      <c r="F3" s="455"/>
      <c r="G3" s="455"/>
      <c r="H3" s="455"/>
      <c r="I3" s="455"/>
      <c r="J3" s="455"/>
      <c r="K3" s="455"/>
      <c r="L3" s="184"/>
    </row>
    <row r="4" spans="1:12" s="40" customFormat="1" ht="19.5" customHeight="1">
      <c r="A4" s="451"/>
      <c r="B4" s="451"/>
      <c r="C4" s="451"/>
      <c r="D4" s="455"/>
      <c r="E4" s="183" t="s">
        <v>70</v>
      </c>
      <c r="F4" s="183" t="s">
        <v>197</v>
      </c>
      <c r="G4" s="195" t="s">
        <v>449</v>
      </c>
      <c r="H4" s="183" t="s">
        <v>197</v>
      </c>
      <c r="I4" s="195" t="s">
        <v>450</v>
      </c>
      <c r="J4" s="183" t="s">
        <v>197</v>
      </c>
      <c r="K4" s="183" t="s">
        <v>426</v>
      </c>
      <c r="L4" s="183" t="s">
        <v>197</v>
      </c>
    </row>
    <row r="5" spans="1:12" s="40" customFormat="1" ht="19.5" customHeight="1">
      <c r="A5" s="185">
        <v>1</v>
      </c>
      <c r="B5" s="186" t="s">
        <v>430</v>
      </c>
      <c r="C5" s="185" t="s">
        <v>431</v>
      </c>
      <c r="D5" s="187">
        <v>3000</v>
      </c>
      <c r="E5" s="185">
        <v>0.1</v>
      </c>
      <c r="F5" s="196">
        <f>D5*E5</f>
        <v>300</v>
      </c>
      <c r="G5" s="185">
        <v>0.2</v>
      </c>
      <c r="H5" s="196">
        <f>D5*G5</f>
        <v>600</v>
      </c>
      <c r="I5" s="185">
        <v>0.1</v>
      </c>
      <c r="J5" s="196">
        <f>D5*I5</f>
        <v>300</v>
      </c>
      <c r="K5" s="185">
        <v>0.01</v>
      </c>
      <c r="L5" s="187">
        <f>D5*K5</f>
        <v>30</v>
      </c>
    </row>
    <row r="6" spans="1:12" s="40" customFormat="1" ht="19.5" customHeight="1">
      <c r="A6" s="188">
        <v>2</v>
      </c>
      <c r="B6" s="189" t="s">
        <v>432</v>
      </c>
      <c r="C6" s="188" t="s">
        <v>431</v>
      </c>
      <c r="D6" s="155">
        <v>3000</v>
      </c>
      <c r="E6" s="188">
        <v>0.1</v>
      </c>
      <c r="F6" s="197">
        <f aca="true" t="shared" si="0" ref="F6:F17">D6*E6</f>
        <v>300</v>
      </c>
      <c r="G6" s="188">
        <v>0.2</v>
      </c>
      <c r="H6" s="197">
        <f aca="true" t="shared" si="1" ref="H6:H18">D6*G6</f>
        <v>600</v>
      </c>
      <c r="I6" s="188">
        <v>0.1</v>
      </c>
      <c r="J6" s="197">
        <f aca="true" t="shared" si="2" ref="J6:J18">D6*I6</f>
        <v>300</v>
      </c>
      <c r="K6" s="188">
        <v>0.02</v>
      </c>
      <c r="L6" s="155">
        <f aca="true" t="shared" si="3" ref="L6:L18">D6*K6</f>
        <v>60</v>
      </c>
    </row>
    <row r="7" spans="1:12" s="40" customFormat="1" ht="19.5" customHeight="1">
      <c r="A7" s="188">
        <v>3</v>
      </c>
      <c r="B7" s="189" t="s">
        <v>433</v>
      </c>
      <c r="C7" s="188" t="s">
        <v>431</v>
      </c>
      <c r="D7" s="155">
        <v>5500</v>
      </c>
      <c r="E7" s="188">
        <v>1</v>
      </c>
      <c r="F7" s="197">
        <f t="shared" si="0"/>
        <v>5500</v>
      </c>
      <c r="G7" s="188">
        <v>2</v>
      </c>
      <c r="H7" s="197">
        <f t="shared" si="1"/>
        <v>11000</v>
      </c>
      <c r="I7" s="188">
        <v>1</v>
      </c>
      <c r="J7" s="197">
        <f t="shared" si="2"/>
        <v>5500</v>
      </c>
      <c r="K7" s="188"/>
      <c r="L7" s="155">
        <f t="shared" si="3"/>
        <v>0</v>
      </c>
    </row>
    <row r="8" spans="1:12" s="40" customFormat="1" ht="19.5" customHeight="1">
      <c r="A8" s="188">
        <v>4</v>
      </c>
      <c r="B8" s="190" t="s">
        <v>434</v>
      </c>
      <c r="C8" s="188" t="s">
        <v>435</v>
      </c>
      <c r="D8" s="155">
        <v>80000</v>
      </c>
      <c r="E8" s="188">
        <v>0.04</v>
      </c>
      <c r="F8" s="197">
        <f t="shared" si="0"/>
        <v>3200</v>
      </c>
      <c r="G8" s="188">
        <v>0.08</v>
      </c>
      <c r="H8" s="197">
        <f t="shared" si="1"/>
        <v>6400</v>
      </c>
      <c r="I8" s="188">
        <v>0.04</v>
      </c>
      <c r="J8" s="197">
        <f t="shared" si="2"/>
        <v>3200</v>
      </c>
      <c r="K8" s="188"/>
      <c r="L8" s="155">
        <f t="shared" si="3"/>
        <v>0</v>
      </c>
    </row>
    <row r="9" spans="1:12" s="40" customFormat="1" ht="19.5" customHeight="1">
      <c r="A9" s="188">
        <v>5</v>
      </c>
      <c r="B9" s="189" t="s">
        <v>436</v>
      </c>
      <c r="C9" s="188" t="s">
        <v>437</v>
      </c>
      <c r="D9" s="191">
        <v>19500</v>
      </c>
      <c r="E9" s="188">
        <v>0.03</v>
      </c>
      <c r="F9" s="197">
        <f t="shared" si="0"/>
        <v>585</v>
      </c>
      <c r="G9" s="188">
        <v>0.03</v>
      </c>
      <c r="H9" s="197">
        <f t="shared" si="1"/>
        <v>585</v>
      </c>
      <c r="I9" s="188"/>
      <c r="J9" s="197">
        <f t="shared" si="2"/>
        <v>0</v>
      </c>
      <c r="K9" s="188"/>
      <c r="L9" s="155">
        <f t="shared" si="3"/>
        <v>0</v>
      </c>
    </row>
    <row r="10" spans="1:12" s="40" customFormat="1" ht="19.5" customHeight="1">
      <c r="A10" s="188">
        <v>6</v>
      </c>
      <c r="B10" s="189" t="s">
        <v>438</v>
      </c>
      <c r="C10" s="188" t="s">
        <v>431</v>
      </c>
      <c r="D10" s="191">
        <v>1450000</v>
      </c>
      <c r="E10" s="188">
        <v>0.01</v>
      </c>
      <c r="F10" s="197">
        <f t="shared" si="0"/>
        <v>14500</v>
      </c>
      <c r="G10" s="188">
        <v>0.02</v>
      </c>
      <c r="H10" s="197">
        <f t="shared" si="1"/>
        <v>29000</v>
      </c>
      <c r="I10" s="188">
        <v>0.01</v>
      </c>
      <c r="J10" s="197">
        <f t="shared" si="2"/>
        <v>14500</v>
      </c>
      <c r="K10" s="188">
        <v>0.01</v>
      </c>
      <c r="L10" s="155">
        <f t="shared" si="3"/>
        <v>14500</v>
      </c>
    </row>
    <row r="11" spans="1:12" s="40" customFormat="1" ht="19.5" customHeight="1">
      <c r="A11" s="188">
        <v>7</v>
      </c>
      <c r="B11" s="189" t="s">
        <v>439</v>
      </c>
      <c r="C11" s="188" t="s">
        <v>431</v>
      </c>
      <c r="D11" s="191">
        <v>1477300</v>
      </c>
      <c r="E11" s="188">
        <v>0.01</v>
      </c>
      <c r="F11" s="197">
        <f t="shared" si="0"/>
        <v>14773</v>
      </c>
      <c r="G11" s="188">
        <v>0.02</v>
      </c>
      <c r="H11" s="197">
        <f t="shared" si="1"/>
        <v>29546</v>
      </c>
      <c r="I11" s="188">
        <v>0.01</v>
      </c>
      <c r="J11" s="197">
        <f t="shared" si="2"/>
        <v>14773</v>
      </c>
      <c r="K11" s="188">
        <v>0.01</v>
      </c>
      <c r="L11" s="155">
        <f t="shared" si="3"/>
        <v>14773</v>
      </c>
    </row>
    <row r="12" spans="1:12" s="40" customFormat="1" ht="19.5" customHeight="1">
      <c r="A12" s="188">
        <v>8</v>
      </c>
      <c r="B12" s="189" t="s">
        <v>440</v>
      </c>
      <c r="C12" s="188" t="s">
        <v>437</v>
      </c>
      <c r="D12" s="191">
        <v>12000</v>
      </c>
      <c r="E12" s="188">
        <v>0.01</v>
      </c>
      <c r="F12" s="197">
        <f t="shared" si="0"/>
        <v>120</v>
      </c>
      <c r="G12" s="188">
        <v>0.01</v>
      </c>
      <c r="H12" s="197">
        <f t="shared" si="1"/>
        <v>120</v>
      </c>
      <c r="I12" s="188"/>
      <c r="J12" s="197">
        <f t="shared" si="2"/>
        <v>0</v>
      </c>
      <c r="K12" s="188"/>
      <c r="L12" s="155">
        <f t="shared" si="3"/>
        <v>0</v>
      </c>
    </row>
    <row r="13" spans="1:12" s="40" customFormat="1" ht="19.5" customHeight="1">
      <c r="A13" s="188">
        <v>9</v>
      </c>
      <c r="B13" s="189" t="s">
        <v>441</v>
      </c>
      <c r="C13" s="188" t="s">
        <v>442</v>
      </c>
      <c r="D13" s="191">
        <v>8500</v>
      </c>
      <c r="E13" s="188">
        <v>0.2</v>
      </c>
      <c r="F13" s="197">
        <f t="shared" si="0"/>
        <v>1700</v>
      </c>
      <c r="G13" s="188">
        <v>0.4</v>
      </c>
      <c r="H13" s="197">
        <f t="shared" si="1"/>
        <v>3400</v>
      </c>
      <c r="I13" s="188">
        <v>0.02</v>
      </c>
      <c r="J13" s="197">
        <f t="shared" si="2"/>
        <v>170</v>
      </c>
      <c r="K13" s="188"/>
      <c r="L13" s="155">
        <f t="shared" si="3"/>
        <v>0</v>
      </c>
    </row>
    <row r="14" spans="1:12" s="40" customFormat="1" ht="19.5" customHeight="1">
      <c r="A14" s="188">
        <v>10</v>
      </c>
      <c r="B14" s="189" t="s">
        <v>443</v>
      </c>
      <c r="C14" s="188" t="s">
        <v>442</v>
      </c>
      <c r="D14" s="191">
        <v>8500</v>
      </c>
      <c r="E14" s="188">
        <v>0.02</v>
      </c>
      <c r="F14" s="197">
        <f t="shared" si="0"/>
        <v>170</v>
      </c>
      <c r="G14" s="188">
        <v>0.04</v>
      </c>
      <c r="H14" s="197">
        <f t="shared" si="1"/>
        <v>340</v>
      </c>
      <c r="I14" s="188"/>
      <c r="J14" s="197">
        <f t="shared" si="2"/>
        <v>0</v>
      </c>
      <c r="K14" s="188"/>
      <c r="L14" s="155">
        <f t="shared" si="3"/>
        <v>0</v>
      </c>
    </row>
    <row r="15" spans="1:12" s="40" customFormat="1" ht="19.5" customHeight="1">
      <c r="A15" s="188">
        <v>11</v>
      </c>
      <c r="B15" s="189" t="s">
        <v>444</v>
      </c>
      <c r="C15" s="188" t="s">
        <v>445</v>
      </c>
      <c r="D15" s="191">
        <v>39500</v>
      </c>
      <c r="E15" s="188">
        <v>0.005</v>
      </c>
      <c r="F15" s="197">
        <f t="shared" si="0"/>
        <v>197.5</v>
      </c>
      <c r="G15" s="188">
        <v>0.005</v>
      </c>
      <c r="H15" s="197">
        <f t="shared" si="1"/>
        <v>197.5</v>
      </c>
      <c r="I15" s="188"/>
      <c r="J15" s="197">
        <f t="shared" si="2"/>
        <v>0</v>
      </c>
      <c r="K15" s="188"/>
      <c r="L15" s="155">
        <f t="shared" si="3"/>
        <v>0</v>
      </c>
    </row>
    <row r="16" spans="1:12" s="40" customFormat="1" ht="19.5" customHeight="1">
      <c r="A16" s="188">
        <v>12</v>
      </c>
      <c r="B16" s="189" t="s">
        <v>446</v>
      </c>
      <c r="C16" s="188" t="s">
        <v>431</v>
      </c>
      <c r="D16" s="191">
        <v>13000</v>
      </c>
      <c r="E16" s="188">
        <v>0.01</v>
      </c>
      <c r="F16" s="197">
        <f t="shared" si="0"/>
        <v>130</v>
      </c>
      <c r="G16" s="188">
        <v>0.01</v>
      </c>
      <c r="H16" s="197">
        <f t="shared" si="1"/>
        <v>130</v>
      </c>
      <c r="I16" s="188">
        <v>0.01</v>
      </c>
      <c r="J16" s="197">
        <f t="shared" si="2"/>
        <v>130</v>
      </c>
      <c r="K16" s="188">
        <v>0.01</v>
      </c>
      <c r="L16" s="155">
        <f t="shared" si="3"/>
        <v>130</v>
      </c>
    </row>
    <row r="17" spans="1:12" s="40" customFormat="1" ht="19.5" customHeight="1">
      <c r="A17" s="188">
        <v>13</v>
      </c>
      <c r="B17" s="189" t="s">
        <v>447</v>
      </c>
      <c r="C17" s="188" t="s">
        <v>199</v>
      </c>
      <c r="D17" s="155">
        <v>40000</v>
      </c>
      <c r="E17" s="188">
        <v>0.2</v>
      </c>
      <c r="F17" s="197">
        <f t="shared" si="0"/>
        <v>8000</v>
      </c>
      <c r="G17" s="188">
        <v>0.2</v>
      </c>
      <c r="H17" s="197">
        <f t="shared" si="1"/>
        <v>8000</v>
      </c>
      <c r="I17" s="188">
        <v>0.2</v>
      </c>
      <c r="J17" s="197">
        <f t="shared" si="2"/>
        <v>8000</v>
      </c>
      <c r="K17" s="188"/>
      <c r="L17" s="155">
        <f t="shared" si="3"/>
        <v>0</v>
      </c>
    </row>
    <row r="18" spans="1:12" s="40" customFormat="1" ht="19.5" customHeight="1">
      <c r="A18" s="192">
        <v>14</v>
      </c>
      <c r="B18" s="193" t="s">
        <v>448</v>
      </c>
      <c r="C18" s="192" t="s">
        <v>442</v>
      </c>
      <c r="D18" s="194">
        <v>3000</v>
      </c>
      <c r="E18" s="192"/>
      <c r="F18" s="198"/>
      <c r="G18" s="192">
        <v>0.2</v>
      </c>
      <c r="H18" s="198">
        <f t="shared" si="1"/>
        <v>600</v>
      </c>
      <c r="I18" s="192"/>
      <c r="J18" s="198">
        <f t="shared" si="2"/>
        <v>0</v>
      </c>
      <c r="K18" s="192"/>
      <c r="L18" s="167">
        <f t="shared" si="3"/>
        <v>0</v>
      </c>
    </row>
    <row r="19" spans="1:12" ht="19.5" customHeight="1">
      <c r="A19" s="51"/>
      <c r="B19" s="199" t="s">
        <v>451</v>
      </c>
      <c r="C19" s="51"/>
      <c r="D19" s="184"/>
      <c r="E19" s="51"/>
      <c r="F19" s="53">
        <f>SUM(F5:F18)*1.08</f>
        <v>53433.54</v>
      </c>
      <c r="G19" s="53"/>
      <c r="H19" s="53">
        <f>SUM(H5:H18)*1.08</f>
        <v>97759.98000000001</v>
      </c>
      <c r="I19" s="53"/>
      <c r="J19" s="53">
        <f>SUM(J5:J18)*1.08</f>
        <v>50622.840000000004</v>
      </c>
      <c r="K19" s="53"/>
      <c r="L19" s="53">
        <f>SUM(L5:L18)*1.08</f>
        <v>31852.440000000002</v>
      </c>
    </row>
    <row r="22" spans="1:7" ht="35.25" customHeight="1">
      <c r="A22" s="450" t="s">
        <v>557</v>
      </c>
      <c r="B22" s="450"/>
      <c r="C22" s="450"/>
      <c r="D22" s="450"/>
      <c r="E22" s="450"/>
      <c r="F22" s="221"/>
      <c r="G22" s="221"/>
    </row>
    <row r="23" spans="1:8" ht="19.5" customHeight="1">
      <c r="A23" s="456" t="s">
        <v>2</v>
      </c>
      <c r="B23" s="456" t="s">
        <v>452</v>
      </c>
      <c r="C23" s="457" t="s">
        <v>22</v>
      </c>
      <c r="D23" s="456" t="s">
        <v>240</v>
      </c>
      <c r="E23" s="457" t="s">
        <v>428</v>
      </c>
      <c r="F23" s="40"/>
      <c r="G23" s="40"/>
      <c r="H23" s="40"/>
    </row>
    <row r="24" spans="1:8" ht="19.5" customHeight="1">
      <c r="A24" s="456"/>
      <c r="B24" s="456"/>
      <c r="C24" s="456"/>
      <c r="D24" s="456"/>
      <c r="E24" s="456"/>
      <c r="F24" s="40"/>
      <c r="G24" s="40"/>
      <c r="H24" s="40"/>
    </row>
    <row r="25" spans="1:8" ht="19.5" customHeight="1">
      <c r="A25" s="203">
        <v>1</v>
      </c>
      <c r="B25" s="204" t="s">
        <v>82</v>
      </c>
      <c r="C25" s="205"/>
      <c r="D25" s="222">
        <v>1</v>
      </c>
      <c r="E25" s="48">
        <f>F19</f>
        <v>53433.54</v>
      </c>
      <c r="F25" s="40"/>
      <c r="G25" s="40"/>
      <c r="H25" s="40"/>
    </row>
    <row r="26" spans="1:8" ht="19.5" customHeight="1">
      <c r="A26" s="208" t="s">
        <v>11</v>
      </c>
      <c r="B26" s="209" t="s">
        <v>421</v>
      </c>
      <c r="C26" s="210" t="s">
        <v>427</v>
      </c>
      <c r="D26" s="177">
        <v>0.3</v>
      </c>
      <c r="E26" s="45">
        <f>D26*E25</f>
        <v>16030.062</v>
      </c>
      <c r="F26" s="40"/>
      <c r="G26" s="40"/>
      <c r="H26" s="40"/>
    </row>
    <row r="27" spans="1:8" ht="19.5" customHeight="1">
      <c r="A27" s="208" t="s">
        <v>12</v>
      </c>
      <c r="B27" s="209" t="s">
        <v>422</v>
      </c>
      <c r="C27" s="210" t="s">
        <v>427</v>
      </c>
      <c r="D27" s="177">
        <v>0.7</v>
      </c>
      <c r="E27" s="45">
        <f>D27*E25</f>
        <v>37403.477999999996</v>
      </c>
      <c r="F27" s="40"/>
      <c r="G27" s="40"/>
      <c r="H27" s="40"/>
    </row>
    <row r="28" spans="1:8" ht="19.5" customHeight="1">
      <c r="A28" s="208">
        <v>2</v>
      </c>
      <c r="B28" s="213" t="s">
        <v>97</v>
      </c>
      <c r="C28" s="214"/>
      <c r="D28" s="177">
        <v>1</v>
      </c>
      <c r="E28" s="45">
        <f>H19</f>
        <v>97759.98000000001</v>
      </c>
      <c r="F28" s="40"/>
      <c r="G28" s="40"/>
      <c r="H28" s="40"/>
    </row>
    <row r="29" spans="1:8" ht="19.5" customHeight="1">
      <c r="A29" s="208" t="s">
        <v>13</v>
      </c>
      <c r="B29" s="209" t="s">
        <v>68</v>
      </c>
      <c r="C29" s="210" t="s">
        <v>427</v>
      </c>
      <c r="D29" s="177">
        <v>0.2</v>
      </c>
      <c r="E29" s="45">
        <f>D29*E28</f>
        <v>19551.996000000003</v>
      </c>
      <c r="F29" s="40"/>
      <c r="G29" s="40"/>
      <c r="H29" s="40"/>
    </row>
    <row r="30" spans="1:8" ht="19.5" customHeight="1">
      <c r="A30" s="208" t="s">
        <v>14</v>
      </c>
      <c r="B30" s="209" t="s">
        <v>97</v>
      </c>
      <c r="C30" s="210" t="s">
        <v>427</v>
      </c>
      <c r="D30" s="177">
        <v>0.7</v>
      </c>
      <c r="E30" s="45">
        <f>D30*E28</f>
        <v>68431.986</v>
      </c>
      <c r="F30" s="40"/>
      <c r="G30" s="40"/>
      <c r="H30" s="40"/>
    </row>
    <row r="31" spans="1:8" ht="39" customHeight="1">
      <c r="A31" s="208" t="s">
        <v>15</v>
      </c>
      <c r="B31" s="209" t="s">
        <v>423</v>
      </c>
      <c r="C31" s="210" t="s">
        <v>427</v>
      </c>
      <c r="D31" s="177">
        <v>0.1</v>
      </c>
      <c r="E31" s="45">
        <f>D31*E28</f>
        <v>9775.998000000001</v>
      </c>
      <c r="F31" s="40"/>
      <c r="G31" s="40"/>
      <c r="H31" s="40"/>
    </row>
    <row r="32" spans="1:8" ht="39" customHeight="1">
      <c r="A32" s="216">
        <v>3</v>
      </c>
      <c r="B32" s="217" t="s">
        <v>100</v>
      </c>
      <c r="C32" s="218" t="s">
        <v>427</v>
      </c>
      <c r="D32" s="179">
        <v>1</v>
      </c>
      <c r="E32" s="47">
        <f>J19</f>
        <v>50622.840000000004</v>
      </c>
      <c r="F32" s="40"/>
      <c r="G32" s="40"/>
      <c r="H32" s="40"/>
    </row>
    <row r="33" spans="1:8" ht="19.5" customHeight="1">
      <c r="A33" s="200">
        <v>4</v>
      </c>
      <c r="B33" s="201" t="s">
        <v>286</v>
      </c>
      <c r="C33" s="202" t="s">
        <v>427</v>
      </c>
      <c r="D33" s="223">
        <v>1</v>
      </c>
      <c r="E33" s="184">
        <f>L19</f>
        <v>31852.440000000002</v>
      </c>
      <c r="F33" s="40"/>
      <c r="G33" s="40"/>
      <c r="H33" s="40"/>
    </row>
  </sheetData>
  <sheetProtection/>
  <mergeCells count="13">
    <mergeCell ref="A23:A24"/>
    <mergeCell ref="B23:B24"/>
    <mergeCell ref="C23:C24"/>
    <mergeCell ref="D23:D24"/>
    <mergeCell ref="E23:E24"/>
    <mergeCell ref="A22:E22"/>
    <mergeCell ref="E3:K3"/>
    <mergeCell ref="A3:A4"/>
    <mergeCell ref="B3:B4"/>
    <mergeCell ref="C3:C4"/>
    <mergeCell ref="D3:D4"/>
    <mergeCell ref="B1:J1"/>
    <mergeCell ref="B2:J2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2">
      <selection activeCell="G7" sqref="G7"/>
    </sheetView>
  </sheetViews>
  <sheetFormatPr defaultColWidth="9.140625" defaultRowHeight="19.5" customHeight="1"/>
  <cols>
    <col min="1" max="1" width="9.28125" style="378" bestFit="1" customWidth="1"/>
    <col min="2" max="2" width="35.00390625" style="136" customWidth="1"/>
    <col min="3" max="3" width="12.140625" style="136" customWidth="1"/>
    <col min="4" max="4" width="9.28125" style="379" bestFit="1" customWidth="1"/>
    <col min="5" max="5" width="9.8515625" style="136" bestFit="1" customWidth="1"/>
    <col min="6" max="6" width="9.140625" style="385" customWidth="1"/>
    <col min="7" max="8" width="11.57421875" style="135" customWidth="1"/>
    <col min="9" max="9" width="11.28125" style="135" customWidth="1"/>
    <col min="10" max="16384" width="9.140625" style="136" customWidth="1"/>
  </cols>
  <sheetData>
    <row r="1" spans="1:9" ht="19.5" customHeight="1">
      <c r="A1" s="449" t="s">
        <v>243</v>
      </c>
      <c r="B1" s="449"/>
      <c r="C1" s="449"/>
      <c r="D1" s="449"/>
      <c r="E1" s="449"/>
      <c r="F1" s="449"/>
      <c r="G1" s="449"/>
      <c r="H1" s="449"/>
      <c r="I1" s="449"/>
    </row>
    <row r="2" spans="1:9" ht="19.5" customHeight="1">
      <c r="A2" s="449" t="s">
        <v>586</v>
      </c>
      <c r="B2" s="449"/>
      <c r="C2" s="449"/>
      <c r="D2" s="449"/>
      <c r="E2" s="449"/>
      <c r="F2" s="449"/>
      <c r="G2" s="449"/>
      <c r="H2" s="449"/>
      <c r="I2" s="449"/>
    </row>
    <row r="3" spans="1:9" ht="35.25" customHeight="1">
      <c r="A3" s="373" t="s">
        <v>238</v>
      </c>
      <c r="B3" s="363" t="s">
        <v>470</v>
      </c>
      <c r="C3" s="363" t="s">
        <v>493</v>
      </c>
      <c r="D3" s="363" t="s">
        <v>255</v>
      </c>
      <c r="E3" s="363" t="s">
        <v>245</v>
      </c>
      <c r="F3" s="380" t="s">
        <v>295</v>
      </c>
      <c r="G3" s="183" t="s">
        <v>491</v>
      </c>
      <c r="H3" s="183" t="s">
        <v>500</v>
      </c>
      <c r="I3" s="109" t="s">
        <v>197</v>
      </c>
    </row>
    <row r="4" spans="1:9" s="362" customFormat="1" ht="19.5" customHeight="1">
      <c r="A4" s="408">
        <v>1</v>
      </c>
      <c r="B4" s="409" t="s">
        <v>164</v>
      </c>
      <c r="C4" s="410"/>
      <c r="D4" s="410"/>
      <c r="E4" s="410"/>
      <c r="F4" s="411"/>
      <c r="G4" s="412"/>
      <c r="H4" s="412"/>
      <c r="I4" s="412">
        <f>I5+I8+I11+I14+I20+I26+I32</f>
        <v>1530769.75</v>
      </c>
    </row>
    <row r="5" spans="1:9" ht="19.5" customHeight="1">
      <c r="A5" s="374" t="s">
        <v>11</v>
      </c>
      <c r="B5" s="367" t="s">
        <v>165</v>
      </c>
      <c r="C5" s="366" t="s">
        <v>539</v>
      </c>
      <c r="D5" s="368"/>
      <c r="E5" s="368"/>
      <c r="F5" s="381"/>
      <c r="G5" s="155"/>
      <c r="H5" s="155"/>
      <c r="I5" s="155">
        <f>I6+I7</f>
        <v>23494.5</v>
      </c>
    </row>
    <row r="6" spans="1:9" s="259" customFormat="1" ht="19.5" customHeight="1">
      <c r="A6" s="375" t="s">
        <v>72</v>
      </c>
      <c r="B6" s="369" t="s">
        <v>257</v>
      </c>
      <c r="C6" s="368" t="s">
        <v>199</v>
      </c>
      <c r="D6" s="368">
        <v>2.2</v>
      </c>
      <c r="E6" s="368">
        <v>0.54</v>
      </c>
      <c r="F6" s="382">
        <f>Thietbi_A_TN_KT_BG_BC!F6</f>
        <v>8</v>
      </c>
      <c r="G6" s="271">
        <f>VLOOKUP(B6,Thietbi_B_CC!$B$23:$G$27,6,0)</f>
        <v>12700000</v>
      </c>
      <c r="H6" s="271">
        <f>G6/F6/500</f>
        <v>3175</v>
      </c>
      <c r="I6" s="271">
        <f>E6*H6</f>
        <v>1714.5</v>
      </c>
    </row>
    <row r="7" spans="1:9" s="259" customFormat="1" ht="19.5" customHeight="1">
      <c r="A7" s="375" t="s">
        <v>258</v>
      </c>
      <c r="B7" s="369" t="s">
        <v>229</v>
      </c>
      <c r="C7" s="368" t="s">
        <v>230</v>
      </c>
      <c r="D7" s="368"/>
      <c r="E7" s="368">
        <v>9.9</v>
      </c>
      <c r="F7" s="382"/>
      <c r="G7" s="271">
        <f>VLOOKUP(B7,Thietbi_B_CC!$B$23:$G$27,6,0)</f>
        <v>2200</v>
      </c>
      <c r="H7" s="271">
        <f>G7</f>
        <v>2200</v>
      </c>
      <c r="I7" s="271">
        <f aca="true" t="shared" si="0" ref="I7:I70">E7*H7</f>
        <v>21780</v>
      </c>
    </row>
    <row r="8" spans="1:9" ht="19.5" customHeight="1">
      <c r="A8" s="374" t="s">
        <v>12</v>
      </c>
      <c r="B8" s="367" t="s">
        <v>166</v>
      </c>
      <c r="C8" s="366" t="s">
        <v>539</v>
      </c>
      <c r="D8" s="368"/>
      <c r="E8" s="368"/>
      <c r="F8" s="381"/>
      <c r="G8" s="271"/>
      <c r="H8" s="271"/>
      <c r="I8" s="271">
        <f>I9+I10</f>
        <v>46891.25</v>
      </c>
    </row>
    <row r="9" spans="1:9" ht="19.5" customHeight="1">
      <c r="A9" s="374" t="s">
        <v>73</v>
      </c>
      <c r="B9" s="367" t="s">
        <v>257</v>
      </c>
      <c r="C9" s="366" t="s">
        <v>199</v>
      </c>
      <c r="D9" s="366">
        <v>2.2</v>
      </c>
      <c r="E9" s="366">
        <v>1.07</v>
      </c>
      <c r="F9" s="381">
        <f>F6</f>
        <v>8</v>
      </c>
      <c r="G9" s="271">
        <f>VLOOKUP(B9,Thietbi_B_CC!$B$23:$G$27,6,0)</f>
        <v>12700000</v>
      </c>
      <c r="H9" s="271">
        <f aca="true" t="shared" si="1" ref="H9:H70">G9/F9/500</f>
        <v>3175</v>
      </c>
      <c r="I9" s="271">
        <f t="shared" si="0"/>
        <v>3397.25</v>
      </c>
    </row>
    <row r="10" spans="1:9" ht="19.5" customHeight="1">
      <c r="A10" s="374" t="s">
        <v>298</v>
      </c>
      <c r="B10" s="367" t="s">
        <v>229</v>
      </c>
      <c r="C10" s="366" t="s">
        <v>230</v>
      </c>
      <c r="D10" s="366"/>
      <c r="E10" s="366">
        <v>19.77</v>
      </c>
      <c r="F10" s="381"/>
      <c r="G10" s="271">
        <f>VLOOKUP(B10,Thietbi_B_CC!$B$23:$G$27,6,0)</f>
        <v>2200</v>
      </c>
      <c r="H10" s="271">
        <f>G10</f>
        <v>2200</v>
      </c>
      <c r="I10" s="271">
        <f t="shared" si="0"/>
        <v>43494</v>
      </c>
    </row>
    <row r="11" spans="1:9" ht="19.5" customHeight="1">
      <c r="A11" s="374" t="s">
        <v>21</v>
      </c>
      <c r="B11" s="367" t="s">
        <v>69</v>
      </c>
      <c r="C11" s="366" t="s">
        <v>469</v>
      </c>
      <c r="D11" s="368"/>
      <c r="E11" s="368"/>
      <c r="F11" s="381"/>
      <c r="G11" s="271"/>
      <c r="H11" s="271"/>
      <c r="I11" s="271">
        <f>I12+I13</f>
        <v>70495.75</v>
      </c>
    </row>
    <row r="12" spans="1:9" ht="19.5" customHeight="1">
      <c r="A12" s="374" t="s">
        <v>27</v>
      </c>
      <c r="B12" s="367" t="s">
        <v>257</v>
      </c>
      <c r="C12" s="366" t="s">
        <v>199</v>
      </c>
      <c r="D12" s="366">
        <v>2.2</v>
      </c>
      <c r="E12" s="366">
        <v>1.61</v>
      </c>
      <c r="F12" s="381">
        <f>F6</f>
        <v>8</v>
      </c>
      <c r="G12" s="271">
        <f>VLOOKUP(B12,Thietbi_B_CC!$B$23:$G$27,6,0)</f>
        <v>12700000</v>
      </c>
      <c r="H12" s="271">
        <f t="shared" si="1"/>
        <v>3175</v>
      </c>
      <c r="I12" s="271">
        <f t="shared" si="0"/>
        <v>5111.75</v>
      </c>
    </row>
    <row r="13" spans="1:9" ht="19.5" customHeight="1">
      <c r="A13" s="374" t="s">
        <v>28</v>
      </c>
      <c r="B13" s="367" t="s">
        <v>229</v>
      </c>
      <c r="C13" s="366" t="s">
        <v>230</v>
      </c>
      <c r="D13" s="366"/>
      <c r="E13" s="366">
        <v>29.72</v>
      </c>
      <c r="F13" s="381"/>
      <c r="G13" s="271">
        <f>VLOOKUP(B13,Thietbi_B_CC!$B$23:$G$27,6,0)</f>
        <v>2200</v>
      </c>
      <c r="H13" s="271">
        <f>G13</f>
        <v>2200</v>
      </c>
      <c r="I13" s="271">
        <f t="shared" si="0"/>
        <v>65384</v>
      </c>
    </row>
    <row r="14" spans="1:9" ht="19.5" customHeight="1">
      <c r="A14" s="374" t="s">
        <v>23</v>
      </c>
      <c r="B14" s="367" t="s">
        <v>167</v>
      </c>
      <c r="C14" s="366" t="s">
        <v>466</v>
      </c>
      <c r="D14" s="368"/>
      <c r="E14" s="368"/>
      <c r="F14" s="381"/>
      <c r="G14" s="271"/>
      <c r="H14" s="271"/>
      <c r="I14" s="271">
        <f>I15+I16+I17+I18+I19</f>
        <v>424239</v>
      </c>
    </row>
    <row r="15" spans="1:9" ht="19.5" customHeight="1">
      <c r="A15" s="374" t="s">
        <v>304</v>
      </c>
      <c r="B15" s="367" t="s">
        <v>257</v>
      </c>
      <c r="C15" s="366" t="s">
        <v>199</v>
      </c>
      <c r="D15" s="366">
        <v>2.2</v>
      </c>
      <c r="E15" s="366">
        <v>8.04</v>
      </c>
      <c r="F15" s="381">
        <f>$F$6</f>
        <v>8</v>
      </c>
      <c r="G15" s="271">
        <f>VLOOKUP(B15,Thietbi_B_CC!$B$23:$G$27,6,0)</f>
        <v>12700000</v>
      </c>
      <c r="H15" s="271">
        <f t="shared" si="1"/>
        <v>3175</v>
      </c>
      <c r="I15" s="271">
        <f t="shared" si="0"/>
        <v>25526.999999999996</v>
      </c>
    </row>
    <row r="16" spans="1:9" ht="19.5" customHeight="1">
      <c r="A16" s="374" t="s">
        <v>305</v>
      </c>
      <c r="B16" s="367" t="s">
        <v>477</v>
      </c>
      <c r="C16" s="366" t="s">
        <v>199</v>
      </c>
      <c r="D16" s="366">
        <v>0.4</v>
      </c>
      <c r="E16" s="366">
        <v>3</v>
      </c>
      <c r="F16" s="381">
        <f>Thietbi_B_CC!F24</f>
        <v>5</v>
      </c>
      <c r="G16" s="271">
        <f>VLOOKUP(B16,Thietbi_B_CC!$B$23:$G$27,6,0)</f>
        <v>15000000</v>
      </c>
      <c r="H16" s="271">
        <f t="shared" si="1"/>
        <v>6000</v>
      </c>
      <c r="I16" s="271">
        <f t="shared" si="0"/>
        <v>18000</v>
      </c>
    </row>
    <row r="17" spans="1:9" ht="19.5" customHeight="1">
      <c r="A17" s="374" t="s">
        <v>306</v>
      </c>
      <c r="B17" s="367" t="s">
        <v>496</v>
      </c>
      <c r="C17" s="366" t="s">
        <v>199</v>
      </c>
      <c r="D17" s="366">
        <v>0.4</v>
      </c>
      <c r="E17" s="366">
        <v>0.2</v>
      </c>
      <c r="F17" s="381">
        <f>F16</f>
        <v>5</v>
      </c>
      <c r="G17" s="271">
        <f>VLOOKUP(B17,Thietbi_B_CC!$B$23:$G$27,6,0)</f>
        <v>7200000</v>
      </c>
      <c r="H17" s="271">
        <f t="shared" si="1"/>
        <v>2880</v>
      </c>
      <c r="I17" s="271">
        <f t="shared" si="0"/>
        <v>576</v>
      </c>
    </row>
    <row r="18" spans="1:9" ht="19.5" customHeight="1">
      <c r="A18" s="374" t="s">
        <v>307</v>
      </c>
      <c r="B18" s="367" t="s">
        <v>263</v>
      </c>
      <c r="C18" s="366" t="s">
        <v>199</v>
      </c>
      <c r="D18" s="366">
        <v>1.5</v>
      </c>
      <c r="E18" s="366">
        <v>0.5</v>
      </c>
      <c r="F18" s="381">
        <f>F15</f>
        <v>8</v>
      </c>
      <c r="G18" s="271">
        <f>VLOOKUP(B18,Thietbi_B_CC!$B$23:$G$27,6,0)</f>
        <v>126000000</v>
      </c>
      <c r="H18" s="271">
        <f t="shared" si="1"/>
        <v>31500</v>
      </c>
      <c r="I18" s="271">
        <f t="shared" si="0"/>
        <v>15750</v>
      </c>
    </row>
    <row r="19" spans="1:9" ht="19.5" customHeight="1">
      <c r="A19" s="374" t="s">
        <v>308</v>
      </c>
      <c r="B19" s="367" t="s">
        <v>229</v>
      </c>
      <c r="C19" s="366" t="s">
        <v>230</v>
      </c>
      <c r="D19" s="366"/>
      <c r="E19" s="366">
        <v>165.63</v>
      </c>
      <c r="F19" s="381"/>
      <c r="G19" s="271">
        <f>VLOOKUP(B19,Thietbi_B_CC!$B$23:$G$27,6,0)</f>
        <v>2200</v>
      </c>
      <c r="H19" s="271">
        <f>G19</f>
        <v>2200</v>
      </c>
      <c r="I19" s="271">
        <f t="shared" si="0"/>
        <v>364386</v>
      </c>
    </row>
    <row r="20" spans="1:9" ht="19.5" customHeight="1">
      <c r="A20" s="374" t="s">
        <v>24</v>
      </c>
      <c r="B20" s="367" t="s">
        <v>168</v>
      </c>
      <c r="C20" s="366" t="s">
        <v>466</v>
      </c>
      <c r="D20" s="368"/>
      <c r="E20" s="368"/>
      <c r="F20" s="381"/>
      <c r="G20" s="271"/>
      <c r="H20" s="271"/>
      <c r="I20" s="271">
        <f>I21++I22+I23+I24+I25</f>
        <v>202703</v>
      </c>
    </row>
    <row r="21" spans="1:9" ht="19.5" customHeight="1">
      <c r="A21" s="374" t="s">
        <v>34</v>
      </c>
      <c r="B21" s="367" t="s">
        <v>257</v>
      </c>
      <c r="C21" s="366" t="s">
        <v>199</v>
      </c>
      <c r="D21" s="366">
        <v>2.2</v>
      </c>
      <c r="E21" s="366">
        <v>2.68</v>
      </c>
      <c r="F21" s="381">
        <f>F15</f>
        <v>8</v>
      </c>
      <c r="G21" s="271">
        <f>VLOOKUP(B21,Thietbi_B_CC!$B$23:$G$27,6,0)</f>
        <v>12700000</v>
      </c>
      <c r="H21" s="271">
        <f t="shared" si="1"/>
        <v>3175</v>
      </c>
      <c r="I21" s="271">
        <f t="shared" si="0"/>
        <v>8509</v>
      </c>
    </row>
    <row r="22" spans="1:9" ht="19.5" customHeight="1">
      <c r="A22" s="374" t="s">
        <v>35</v>
      </c>
      <c r="B22" s="367" t="s">
        <v>477</v>
      </c>
      <c r="C22" s="366" t="s">
        <v>199</v>
      </c>
      <c r="D22" s="366">
        <v>0.4</v>
      </c>
      <c r="E22" s="366">
        <v>4</v>
      </c>
      <c r="F22" s="381">
        <f>F16</f>
        <v>5</v>
      </c>
      <c r="G22" s="271">
        <f>VLOOKUP(B22,Thietbi_B_CC!$B$23:$G$27,6,0)</f>
        <v>15000000</v>
      </c>
      <c r="H22" s="271">
        <f t="shared" si="1"/>
        <v>6000</v>
      </c>
      <c r="I22" s="271">
        <f t="shared" si="0"/>
        <v>24000</v>
      </c>
    </row>
    <row r="23" spans="1:9" ht="19.5" customHeight="1">
      <c r="A23" s="374" t="s">
        <v>36</v>
      </c>
      <c r="B23" s="367" t="s">
        <v>496</v>
      </c>
      <c r="C23" s="366" t="s">
        <v>199</v>
      </c>
      <c r="D23" s="366">
        <v>0.4</v>
      </c>
      <c r="E23" s="366">
        <v>0.2</v>
      </c>
      <c r="F23" s="381">
        <f>F17</f>
        <v>5</v>
      </c>
      <c r="G23" s="271">
        <f>VLOOKUP(B23,Thietbi_B_CC!$B$23:$G$27,6,0)</f>
        <v>7200000</v>
      </c>
      <c r="H23" s="271">
        <f t="shared" si="1"/>
        <v>2880</v>
      </c>
      <c r="I23" s="271">
        <f t="shared" si="0"/>
        <v>576</v>
      </c>
    </row>
    <row r="24" spans="1:9" ht="19.5" customHeight="1">
      <c r="A24" s="374" t="s">
        <v>37</v>
      </c>
      <c r="B24" s="367" t="s">
        <v>263</v>
      </c>
      <c r="C24" s="366" t="s">
        <v>199</v>
      </c>
      <c r="D24" s="366">
        <v>1.5</v>
      </c>
      <c r="E24" s="366">
        <v>0.5</v>
      </c>
      <c r="F24" s="381">
        <f>F18</f>
        <v>8</v>
      </c>
      <c r="G24" s="271">
        <f>VLOOKUP(B24,Thietbi_B_CC!$B$23:$G$27,6,0)</f>
        <v>126000000</v>
      </c>
      <c r="H24" s="271">
        <f t="shared" si="1"/>
        <v>31500</v>
      </c>
      <c r="I24" s="271">
        <f t="shared" si="0"/>
        <v>15750</v>
      </c>
    </row>
    <row r="25" spans="1:9" ht="19.5" customHeight="1">
      <c r="A25" s="374" t="s">
        <v>311</v>
      </c>
      <c r="B25" s="367" t="s">
        <v>229</v>
      </c>
      <c r="C25" s="366" t="s">
        <v>230</v>
      </c>
      <c r="D25" s="366"/>
      <c r="E25" s="366">
        <v>69.94</v>
      </c>
      <c r="F25" s="381"/>
      <c r="G25" s="271">
        <f>VLOOKUP(B25,Thietbi_B_CC!$B$23:$G$27,6,0)</f>
        <v>2200</v>
      </c>
      <c r="H25" s="271">
        <f>G25</f>
        <v>2200</v>
      </c>
      <c r="I25" s="271">
        <f t="shared" si="0"/>
        <v>153868</v>
      </c>
    </row>
    <row r="26" spans="1:9" ht="19.5" customHeight="1">
      <c r="A26" s="374" t="s">
        <v>38</v>
      </c>
      <c r="B26" s="367" t="s">
        <v>169</v>
      </c>
      <c r="C26" s="366" t="s">
        <v>466</v>
      </c>
      <c r="D26" s="368"/>
      <c r="E26" s="368"/>
      <c r="F26" s="381"/>
      <c r="G26" s="271"/>
      <c r="H26" s="271"/>
      <c r="I26" s="271">
        <f>I27+I28+I29+I31</f>
        <v>761641</v>
      </c>
    </row>
    <row r="27" spans="1:9" ht="19.5" customHeight="1">
      <c r="A27" s="374" t="s">
        <v>314</v>
      </c>
      <c r="B27" s="367" t="s">
        <v>257</v>
      </c>
      <c r="C27" s="366" t="s">
        <v>199</v>
      </c>
      <c r="D27" s="366">
        <v>2.2</v>
      </c>
      <c r="E27" s="366">
        <v>8.04</v>
      </c>
      <c r="F27" s="381">
        <f>F21</f>
        <v>8</v>
      </c>
      <c r="G27" s="271">
        <f>VLOOKUP(B27,Thietbi_B_CC!$B$23:$G$27,6,0)</f>
        <v>12700000</v>
      </c>
      <c r="H27" s="271">
        <f t="shared" si="1"/>
        <v>3175</v>
      </c>
      <c r="I27" s="271">
        <f t="shared" si="0"/>
        <v>25526.999999999996</v>
      </c>
    </row>
    <row r="28" spans="1:9" ht="19.5" customHeight="1">
      <c r="A28" s="374" t="s">
        <v>315</v>
      </c>
      <c r="B28" s="367" t="s">
        <v>477</v>
      </c>
      <c r="C28" s="366" t="s">
        <v>199</v>
      </c>
      <c r="D28" s="366">
        <v>0.4</v>
      </c>
      <c r="E28" s="366">
        <v>18</v>
      </c>
      <c r="F28" s="381">
        <f>F16</f>
        <v>5</v>
      </c>
      <c r="G28" s="271">
        <f>VLOOKUP(B28,Thietbi_B_CC!$B$23:$G$27,6,0)</f>
        <v>15000000</v>
      </c>
      <c r="H28" s="271">
        <f t="shared" si="1"/>
        <v>6000</v>
      </c>
      <c r="I28" s="271">
        <f t="shared" si="0"/>
        <v>108000</v>
      </c>
    </row>
    <row r="29" spans="1:9" ht="19.5" customHeight="1">
      <c r="A29" s="374" t="s">
        <v>316</v>
      </c>
      <c r="B29" s="367" t="s">
        <v>496</v>
      </c>
      <c r="C29" s="366" t="s">
        <v>199</v>
      </c>
      <c r="D29" s="366">
        <v>0.4</v>
      </c>
      <c r="E29" s="366">
        <v>1.8</v>
      </c>
      <c r="F29" s="381">
        <f>F17</f>
        <v>5</v>
      </c>
      <c r="G29" s="271">
        <f>VLOOKUP(B29,Thietbi_B_CC!$B$23:$G$27,6,0)</f>
        <v>7200000</v>
      </c>
      <c r="H29" s="271">
        <f t="shared" si="1"/>
        <v>2880</v>
      </c>
      <c r="I29" s="271">
        <f t="shared" si="0"/>
        <v>5184</v>
      </c>
    </row>
    <row r="30" spans="1:9" ht="19.5" customHeight="1">
      <c r="A30" s="374" t="s">
        <v>317</v>
      </c>
      <c r="B30" s="367" t="s">
        <v>263</v>
      </c>
      <c r="C30" s="366" t="s">
        <v>199</v>
      </c>
      <c r="D30" s="366">
        <v>1.5</v>
      </c>
      <c r="E30" s="366">
        <v>5.4</v>
      </c>
      <c r="F30" s="381">
        <f>F18</f>
        <v>8</v>
      </c>
      <c r="G30" s="271">
        <f>VLOOKUP(B30,Thietbi_B_CC!$B$23:$G$27,6,0)</f>
        <v>126000000</v>
      </c>
      <c r="H30" s="271">
        <f t="shared" si="1"/>
        <v>31500</v>
      </c>
      <c r="I30" s="271">
        <f t="shared" si="0"/>
        <v>170100</v>
      </c>
    </row>
    <row r="31" spans="1:9" ht="19.5" customHeight="1">
      <c r="A31" s="374" t="s">
        <v>318</v>
      </c>
      <c r="B31" s="367" t="s">
        <v>229</v>
      </c>
      <c r="C31" s="366" t="s">
        <v>230</v>
      </c>
      <c r="D31" s="366"/>
      <c r="E31" s="366">
        <v>283.15</v>
      </c>
      <c r="F31" s="381"/>
      <c r="G31" s="271">
        <f>VLOOKUP(B31,Thietbi_B_CC!$B$23:$G$27,6,0)</f>
        <v>2200</v>
      </c>
      <c r="H31" s="271">
        <f>G31</f>
        <v>2200</v>
      </c>
      <c r="I31" s="271">
        <f t="shared" si="0"/>
        <v>622930</v>
      </c>
    </row>
    <row r="32" spans="1:9" ht="19.5" customHeight="1">
      <c r="A32" s="374" t="s">
        <v>39</v>
      </c>
      <c r="B32" s="367" t="s">
        <v>170</v>
      </c>
      <c r="C32" s="366" t="s">
        <v>460</v>
      </c>
      <c r="D32" s="368"/>
      <c r="E32" s="368"/>
      <c r="F32" s="381"/>
      <c r="G32" s="271"/>
      <c r="H32" s="271"/>
      <c r="I32" s="271">
        <f>I33+I34</f>
        <v>1305.25</v>
      </c>
    </row>
    <row r="33" spans="1:9" ht="19.5" customHeight="1">
      <c r="A33" s="374" t="s">
        <v>321</v>
      </c>
      <c r="B33" s="367" t="s">
        <v>257</v>
      </c>
      <c r="C33" s="366" t="s">
        <v>199</v>
      </c>
      <c r="D33" s="366">
        <v>2.2</v>
      </c>
      <c r="E33" s="366">
        <v>0.03</v>
      </c>
      <c r="F33" s="381">
        <f>F27</f>
        <v>8</v>
      </c>
      <c r="G33" s="271">
        <f>VLOOKUP(B33,Thietbi_B_CC!$B$23:$G$27,6,0)</f>
        <v>12700000</v>
      </c>
      <c r="H33" s="271">
        <f t="shared" si="1"/>
        <v>3175</v>
      </c>
      <c r="I33" s="271">
        <f t="shared" si="0"/>
        <v>95.25</v>
      </c>
    </row>
    <row r="34" spans="1:9" ht="19.5" customHeight="1">
      <c r="A34" s="374" t="s">
        <v>322</v>
      </c>
      <c r="B34" s="367" t="s">
        <v>229</v>
      </c>
      <c r="C34" s="366" t="s">
        <v>230</v>
      </c>
      <c r="D34" s="366"/>
      <c r="E34" s="366">
        <v>0.55</v>
      </c>
      <c r="F34" s="381"/>
      <c r="G34" s="271">
        <f>VLOOKUP(B34,Thietbi_B_CC!$B$23:$G$27,6,0)</f>
        <v>2200</v>
      </c>
      <c r="H34" s="271">
        <f>G34</f>
        <v>2200</v>
      </c>
      <c r="I34" s="271">
        <f t="shared" si="0"/>
        <v>1210</v>
      </c>
    </row>
    <row r="35" spans="1:9" s="362" customFormat="1" ht="19.5" customHeight="1">
      <c r="A35" s="402">
        <v>2</v>
      </c>
      <c r="B35" s="407" t="s">
        <v>535</v>
      </c>
      <c r="C35" s="404"/>
      <c r="D35" s="404"/>
      <c r="E35" s="404"/>
      <c r="F35" s="405"/>
      <c r="G35" s="406"/>
      <c r="H35" s="406"/>
      <c r="I35" s="406">
        <f>I36+I39+I45+I48+I57</f>
        <v>122536.25</v>
      </c>
    </row>
    <row r="36" spans="1:9" ht="19.5" customHeight="1">
      <c r="A36" s="374" t="s">
        <v>13</v>
      </c>
      <c r="B36" s="370" t="s">
        <v>172</v>
      </c>
      <c r="C36" s="366" t="s">
        <v>466</v>
      </c>
      <c r="D36" s="368"/>
      <c r="E36" s="368"/>
      <c r="F36" s="381"/>
      <c r="G36" s="271"/>
      <c r="H36" s="271"/>
      <c r="I36" s="271">
        <f>I37+I38</f>
        <v>23494.5</v>
      </c>
    </row>
    <row r="37" spans="1:9" ht="19.5" customHeight="1">
      <c r="A37" s="374" t="s">
        <v>40</v>
      </c>
      <c r="B37" s="367" t="s">
        <v>257</v>
      </c>
      <c r="C37" s="366" t="s">
        <v>199</v>
      </c>
      <c r="D37" s="366">
        <v>2.2</v>
      </c>
      <c r="E37" s="366">
        <v>0.54</v>
      </c>
      <c r="F37" s="381">
        <f>F27</f>
        <v>8</v>
      </c>
      <c r="G37" s="271">
        <f>VLOOKUP(B37,Thietbi_B_CC!$B$23:$G$27,6,0)</f>
        <v>12700000</v>
      </c>
      <c r="H37" s="271">
        <f t="shared" si="1"/>
        <v>3175</v>
      </c>
      <c r="I37" s="271">
        <f t="shared" si="0"/>
        <v>1714.5</v>
      </c>
    </row>
    <row r="38" spans="1:9" ht="19.5" customHeight="1">
      <c r="A38" s="374" t="s">
        <v>41</v>
      </c>
      <c r="B38" s="367" t="s">
        <v>229</v>
      </c>
      <c r="C38" s="366" t="s">
        <v>230</v>
      </c>
      <c r="D38" s="366"/>
      <c r="E38" s="366">
        <v>9.9</v>
      </c>
      <c r="F38" s="381"/>
      <c r="G38" s="271">
        <f>VLOOKUP(B38,Thietbi_B_CC!$B$23:$G$27,6,0)</f>
        <v>2200</v>
      </c>
      <c r="H38" s="271">
        <f>G38</f>
        <v>2200</v>
      </c>
      <c r="I38" s="271">
        <f t="shared" si="0"/>
        <v>21780</v>
      </c>
    </row>
    <row r="39" spans="1:9" ht="19.5" customHeight="1">
      <c r="A39" s="374" t="s">
        <v>14</v>
      </c>
      <c r="B39" s="370" t="s">
        <v>173</v>
      </c>
      <c r="C39" s="366" t="s">
        <v>466</v>
      </c>
      <c r="D39" s="368"/>
      <c r="E39" s="368"/>
      <c r="F39" s="381"/>
      <c r="G39" s="271"/>
      <c r="H39" s="271"/>
      <c r="I39" s="271">
        <f>I40+I41+I42+I43+I44</f>
        <v>26231.25</v>
      </c>
    </row>
    <row r="40" spans="1:9" ht="19.5" customHeight="1">
      <c r="A40" s="374" t="s">
        <v>135</v>
      </c>
      <c r="B40" s="367" t="s">
        <v>257</v>
      </c>
      <c r="C40" s="366" t="s">
        <v>199</v>
      </c>
      <c r="D40" s="366">
        <v>2.2</v>
      </c>
      <c r="E40" s="366">
        <v>0.27</v>
      </c>
      <c r="F40" s="381">
        <f>F27</f>
        <v>8</v>
      </c>
      <c r="G40" s="271">
        <f>VLOOKUP(B40,Thietbi_B_CC!$B$23:$G$27,6,0)</f>
        <v>12700000</v>
      </c>
      <c r="H40" s="271">
        <f t="shared" si="1"/>
        <v>3175</v>
      </c>
      <c r="I40" s="271">
        <f t="shared" si="0"/>
        <v>857.25</v>
      </c>
    </row>
    <row r="41" spans="1:9" ht="19.5" customHeight="1">
      <c r="A41" s="374" t="s">
        <v>137</v>
      </c>
      <c r="B41" s="367" t="s">
        <v>477</v>
      </c>
      <c r="C41" s="366" t="s">
        <v>199</v>
      </c>
      <c r="D41" s="366">
        <v>0.4</v>
      </c>
      <c r="E41" s="366">
        <v>0.6</v>
      </c>
      <c r="F41" s="381">
        <f>F28</f>
        <v>5</v>
      </c>
      <c r="G41" s="271">
        <f>VLOOKUP(B41,Thietbi_B_CC!$B$23:$G$27,6,0)</f>
        <v>15000000</v>
      </c>
      <c r="H41" s="271">
        <f t="shared" si="1"/>
        <v>6000</v>
      </c>
      <c r="I41" s="271">
        <f t="shared" si="0"/>
        <v>3600</v>
      </c>
    </row>
    <row r="42" spans="1:9" ht="19.5" customHeight="1">
      <c r="A42" s="374" t="s">
        <v>138</v>
      </c>
      <c r="B42" s="367" t="s">
        <v>496</v>
      </c>
      <c r="C42" s="366" t="s">
        <v>199</v>
      </c>
      <c r="D42" s="366">
        <v>0.4</v>
      </c>
      <c r="E42" s="366">
        <v>0.05</v>
      </c>
      <c r="F42" s="381">
        <f>F29</f>
        <v>5</v>
      </c>
      <c r="G42" s="271">
        <f>VLOOKUP(B42,Thietbi_B_CC!$B$23:$G$27,6,0)</f>
        <v>7200000</v>
      </c>
      <c r="H42" s="271">
        <f t="shared" si="1"/>
        <v>2880</v>
      </c>
      <c r="I42" s="271">
        <f t="shared" si="0"/>
        <v>144</v>
      </c>
    </row>
    <row r="43" spans="1:9" ht="19.5" customHeight="1">
      <c r="A43" s="374" t="s">
        <v>141</v>
      </c>
      <c r="B43" s="367" t="s">
        <v>263</v>
      </c>
      <c r="C43" s="366" t="s">
        <v>199</v>
      </c>
      <c r="D43" s="366">
        <v>1.5</v>
      </c>
      <c r="E43" s="366">
        <v>0.1</v>
      </c>
      <c r="F43" s="381">
        <f>F30</f>
        <v>8</v>
      </c>
      <c r="G43" s="271">
        <f>VLOOKUP(B43,Thietbi_B_CC!$B$23:$G$27,6,0)</f>
        <v>126000000</v>
      </c>
      <c r="H43" s="271">
        <f t="shared" si="1"/>
        <v>31500</v>
      </c>
      <c r="I43" s="271">
        <f t="shared" si="0"/>
        <v>3150</v>
      </c>
    </row>
    <row r="44" spans="1:9" ht="19.5" customHeight="1">
      <c r="A44" s="374" t="s">
        <v>144</v>
      </c>
      <c r="B44" s="367" t="s">
        <v>229</v>
      </c>
      <c r="C44" s="366" t="s">
        <v>230</v>
      </c>
      <c r="D44" s="366"/>
      <c r="E44" s="366">
        <v>8.4</v>
      </c>
      <c r="F44" s="381"/>
      <c r="G44" s="271">
        <f>VLOOKUP(B44,Thietbi_B_CC!$B$23:$G$27,6,0)</f>
        <v>2200</v>
      </c>
      <c r="H44" s="271">
        <f>G44</f>
        <v>2200</v>
      </c>
      <c r="I44" s="271">
        <f t="shared" si="0"/>
        <v>18480</v>
      </c>
    </row>
    <row r="45" spans="1:9" ht="19.5" customHeight="1">
      <c r="A45" s="374" t="s">
        <v>15</v>
      </c>
      <c r="B45" s="370" t="s">
        <v>174</v>
      </c>
      <c r="C45" s="366" t="s">
        <v>466</v>
      </c>
      <c r="D45" s="368"/>
      <c r="E45" s="368"/>
      <c r="F45" s="381"/>
      <c r="G45" s="271"/>
      <c r="H45" s="271"/>
      <c r="I45" s="271">
        <f>I46+I47</f>
        <v>23494.5</v>
      </c>
    </row>
    <row r="46" spans="1:9" ht="19.5" customHeight="1">
      <c r="A46" s="374" t="s">
        <v>42</v>
      </c>
      <c r="B46" s="367" t="s">
        <v>257</v>
      </c>
      <c r="C46" s="366" t="s">
        <v>199</v>
      </c>
      <c r="D46" s="366">
        <v>2.2</v>
      </c>
      <c r="E46" s="366">
        <v>0.54</v>
      </c>
      <c r="F46" s="381">
        <f>F40</f>
        <v>8</v>
      </c>
      <c r="G46" s="271">
        <f>VLOOKUP(B46,Thietbi_B_CC!$B$23:$G$27,6,0)</f>
        <v>12700000</v>
      </c>
      <c r="H46" s="271">
        <f t="shared" si="1"/>
        <v>3175</v>
      </c>
      <c r="I46" s="271">
        <f t="shared" si="0"/>
        <v>1714.5</v>
      </c>
    </row>
    <row r="47" spans="1:9" ht="19.5" customHeight="1">
      <c r="A47" s="374" t="s">
        <v>43</v>
      </c>
      <c r="B47" s="367" t="s">
        <v>229</v>
      </c>
      <c r="C47" s="366" t="s">
        <v>230</v>
      </c>
      <c r="D47" s="366"/>
      <c r="E47" s="366">
        <v>9.9</v>
      </c>
      <c r="F47" s="381"/>
      <c r="G47" s="271">
        <f>VLOOKUP(B47,Thietbi_B_CC!$B$23:$G$27,6,0)</f>
        <v>2200</v>
      </c>
      <c r="H47" s="271">
        <f>G47</f>
        <v>2200</v>
      </c>
      <c r="I47" s="271">
        <f t="shared" si="0"/>
        <v>21780</v>
      </c>
    </row>
    <row r="48" spans="1:9" ht="19.5" customHeight="1">
      <c r="A48" s="374" t="s">
        <v>25</v>
      </c>
      <c r="B48" s="370" t="s">
        <v>175</v>
      </c>
      <c r="C48" s="366" t="s">
        <v>536</v>
      </c>
      <c r="D48" s="368"/>
      <c r="E48" s="368"/>
      <c r="F48" s="381"/>
      <c r="G48" s="271"/>
      <c r="H48" s="271"/>
      <c r="I48" s="271">
        <f>I49+I50</f>
        <v>2336.75</v>
      </c>
    </row>
    <row r="49" spans="1:9" ht="19.5" customHeight="1">
      <c r="A49" s="374" t="s">
        <v>335</v>
      </c>
      <c r="B49" s="367" t="s">
        <v>257</v>
      </c>
      <c r="C49" s="366" t="s">
        <v>199</v>
      </c>
      <c r="D49" s="366">
        <v>2.2</v>
      </c>
      <c r="E49" s="366">
        <v>0.05</v>
      </c>
      <c r="F49" s="381">
        <f>F46</f>
        <v>8</v>
      </c>
      <c r="G49" s="271">
        <f>VLOOKUP(B49,Thietbi_B_CC!$B$23:$G$27,6,0)</f>
        <v>12700000</v>
      </c>
      <c r="H49" s="271">
        <f t="shared" si="1"/>
        <v>3175</v>
      </c>
      <c r="I49" s="271">
        <f t="shared" si="0"/>
        <v>158.75</v>
      </c>
    </row>
    <row r="50" spans="1:9" ht="19.5" customHeight="1">
      <c r="A50" s="374" t="s">
        <v>336</v>
      </c>
      <c r="B50" s="367" t="s">
        <v>229</v>
      </c>
      <c r="C50" s="366" t="s">
        <v>230</v>
      </c>
      <c r="D50" s="366"/>
      <c r="E50" s="366">
        <v>0.99</v>
      </c>
      <c r="F50" s="381"/>
      <c r="G50" s="271">
        <f>VLOOKUP(B50,Thietbi_B_CC!$B$23:$G$27,6,0)</f>
        <v>2200</v>
      </c>
      <c r="H50" s="271">
        <f>G50</f>
        <v>2200</v>
      </c>
      <c r="I50" s="271">
        <f t="shared" si="0"/>
        <v>2178</v>
      </c>
    </row>
    <row r="51" spans="1:9" ht="19.5" customHeight="1">
      <c r="A51" s="374" t="s">
        <v>47</v>
      </c>
      <c r="B51" s="370" t="s">
        <v>177</v>
      </c>
      <c r="C51" s="366" t="s">
        <v>466</v>
      </c>
      <c r="D51" s="368"/>
      <c r="E51" s="368"/>
      <c r="F51" s="381"/>
      <c r="G51" s="271"/>
      <c r="H51" s="271"/>
      <c r="I51" s="271">
        <f>I52+I53</f>
        <v>23494.5</v>
      </c>
    </row>
    <row r="52" spans="1:9" ht="19.5" customHeight="1">
      <c r="A52" s="374" t="s">
        <v>48</v>
      </c>
      <c r="B52" s="367" t="s">
        <v>257</v>
      </c>
      <c r="C52" s="366" t="s">
        <v>199</v>
      </c>
      <c r="D52" s="366">
        <v>2.2</v>
      </c>
      <c r="E52" s="366">
        <v>0.54</v>
      </c>
      <c r="F52" s="381">
        <f>F49</f>
        <v>8</v>
      </c>
      <c r="G52" s="271">
        <f>VLOOKUP(B52,Thietbi_B_CC!$B$23:$G$27,6,0)</f>
        <v>12700000</v>
      </c>
      <c r="H52" s="271">
        <f t="shared" si="1"/>
        <v>3175</v>
      </c>
      <c r="I52" s="271">
        <f t="shared" si="0"/>
        <v>1714.5</v>
      </c>
    </row>
    <row r="53" spans="1:9" ht="19.5" customHeight="1">
      <c r="A53" s="374" t="s">
        <v>49</v>
      </c>
      <c r="B53" s="367" t="s">
        <v>229</v>
      </c>
      <c r="C53" s="366" t="s">
        <v>230</v>
      </c>
      <c r="D53" s="366"/>
      <c r="E53" s="366">
        <v>9.9</v>
      </c>
      <c r="F53" s="381"/>
      <c r="G53" s="271">
        <f>VLOOKUP(B53,Thietbi_B_CC!$B$23:$G$27,6,0)</f>
        <v>2200</v>
      </c>
      <c r="H53" s="271">
        <f>G53</f>
        <v>2200</v>
      </c>
      <c r="I53" s="271">
        <f t="shared" si="0"/>
        <v>21780</v>
      </c>
    </row>
    <row r="54" spans="1:9" ht="19.5" customHeight="1">
      <c r="A54" s="374" t="s">
        <v>53</v>
      </c>
      <c r="B54" s="370" t="s">
        <v>537</v>
      </c>
      <c r="C54" s="366" t="s">
        <v>466</v>
      </c>
      <c r="D54" s="368"/>
      <c r="E54" s="368"/>
      <c r="F54" s="381"/>
      <c r="G54" s="271"/>
      <c r="H54" s="271"/>
      <c r="I54" s="271">
        <f>I55+I56</f>
        <v>23494.5</v>
      </c>
    </row>
    <row r="55" spans="1:9" ht="19.5" customHeight="1">
      <c r="A55" s="374" t="s">
        <v>341</v>
      </c>
      <c r="B55" s="367" t="s">
        <v>257</v>
      </c>
      <c r="C55" s="366" t="s">
        <v>199</v>
      </c>
      <c r="D55" s="366">
        <v>2.2</v>
      </c>
      <c r="E55" s="366">
        <v>0.54</v>
      </c>
      <c r="F55" s="381">
        <f>F52</f>
        <v>8</v>
      </c>
      <c r="G55" s="271">
        <f>VLOOKUP(B55,Thietbi_B_CC!$B$23:$G$27,6,0)</f>
        <v>12700000</v>
      </c>
      <c r="H55" s="271">
        <f t="shared" si="1"/>
        <v>3175</v>
      </c>
      <c r="I55" s="271">
        <f t="shared" si="0"/>
        <v>1714.5</v>
      </c>
    </row>
    <row r="56" spans="1:9" ht="19.5" customHeight="1">
      <c r="A56" s="374" t="s">
        <v>342</v>
      </c>
      <c r="B56" s="367" t="s">
        <v>229</v>
      </c>
      <c r="C56" s="366" t="s">
        <v>230</v>
      </c>
      <c r="D56" s="366"/>
      <c r="E56" s="366">
        <v>9.9</v>
      </c>
      <c r="F56" s="381"/>
      <c r="G56" s="271">
        <f>VLOOKUP(B56,Thietbi_B_CC!$B$23:$G$27,6,0)</f>
        <v>2200</v>
      </c>
      <c r="H56" s="271">
        <f>G56</f>
        <v>2200</v>
      </c>
      <c r="I56" s="271">
        <f t="shared" si="0"/>
        <v>21780</v>
      </c>
    </row>
    <row r="57" spans="1:9" ht="19.5" customHeight="1">
      <c r="A57" s="374" t="s">
        <v>54</v>
      </c>
      <c r="B57" s="370" t="s">
        <v>179</v>
      </c>
      <c r="C57" s="366" t="s">
        <v>466</v>
      </c>
      <c r="D57" s="368"/>
      <c r="E57" s="368"/>
      <c r="F57" s="381"/>
      <c r="G57" s="271"/>
      <c r="H57" s="271"/>
      <c r="I57" s="271">
        <f>I58+I59</f>
        <v>46979.25</v>
      </c>
    </row>
    <row r="58" spans="1:9" ht="19.5" customHeight="1">
      <c r="A58" s="374" t="s">
        <v>55</v>
      </c>
      <c r="B58" s="367" t="s">
        <v>257</v>
      </c>
      <c r="C58" s="366" t="s">
        <v>199</v>
      </c>
      <c r="D58" s="366">
        <v>2.2</v>
      </c>
      <c r="E58" s="366">
        <v>1.07</v>
      </c>
      <c r="F58" s="381">
        <f>F55</f>
        <v>8</v>
      </c>
      <c r="G58" s="271">
        <f>VLOOKUP(B58,Thietbi_B_CC!$B$23:$G$27,6,0)</f>
        <v>12700000</v>
      </c>
      <c r="H58" s="271">
        <f t="shared" si="1"/>
        <v>3175</v>
      </c>
      <c r="I58" s="271">
        <f t="shared" si="0"/>
        <v>3397.25</v>
      </c>
    </row>
    <row r="59" spans="1:9" ht="19.5" customHeight="1">
      <c r="A59" s="374" t="s">
        <v>56</v>
      </c>
      <c r="B59" s="367" t="s">
        <v>229</v>
      </c>
      <c r="C59" s="366" t="s">
        <v>230</v>
      </c>
      <c r="D59" s="366"/>
      <c r="E59" s="366">
        <v>19.81</v>
      </c>
      <c r="F59" s="381"/>
      <c r="G59" s="271">
        <f>VLOOKUP(B59,Thietbi_B_CC!$B$23:$G$27,6,0)</f>
        <v>2200</v>
      </c>
      <c r="H59" s="271">
        <f>G59</f>
        <v>2200</v>
      </c>
      <c r="I59" s="271">
        <f t="shared" si="0"/>
        <v>43582</v>
      </c>
    </row>
    <row r="60" spans="1:9" s="362" customFormat="1" ht="19.5" customHeight="1">
      <c r="A60" s="402">
        <v>3</v>
      </c>
      <c r="B60" s="407" t="s">
        <v>180</v>
      </c>
      <c r="C60" s="404"/>
      <c r="D60" s="404"/>
      <c r="E60" s="404"/>
      <c r="F60" s="405"/>
      <c r="G60" s="406"/>
      <c r="H60" s="406"/>
      <c r="I60" s="406">
        <f>I61+I67+I73+I76</f>
        <v>709095.65</v>
      </c>
    </row>
    <row r="61" spans="1:9" ht="19.5" customHeight="1">
      <c r="A61" s="374" t="s">
        <v>19</v>
      </c>
      <c r="B61" s="370" t="s">
        <v>181</v>
      </c>
      <c r="C61" s="366" t="s">
        <v>466</v>
      </c>
      <c r="D61" s="368"/>
      <c r="E61" s="368"/>
      <c r="F61" s="381"/>
      <c r="G61" s="271"/>
      <c r="H61" s="271"/>
      <c r="I61" s="271">
        <f>I63+I64+I65+I66</f>
        <v>305774.4</v>
      </c>
    </row>
    <row r="62" spans="1:9" ht="19.5" customHeight="1">
      <c r="A62" s="374" t="s">
        <v>58</v>
      </c>
      <c r="B62" s="367" t="s">
        <v>257</v>
      </c>
      <c r="C62" s="366" t="s">
        <v>199</v>
      </c>
      <c r="D62" s="366">
        <v>2.2</v>
      </c>
      <c r="E62" s="366">
        <v>2.14</v>
      </c>
      <c r="F62" s="381">
        <f>F58</f>
        <v>8</v>
      </c>
      <c r="G62" s="271">
        <f>VLOOKUP(B62,Thietbi_B_CC!$B$23:$G$27,6,0)</f>
        <v>12700000</v>
      </c>
      <c r="H62" s="271">
        <f t="shared" si="1"/>
        <v>3175</v>
      </c>
      <c r="I62" s="271">
        <f t="shared" si="0"/>
        <v>6794.5</v>
      </c>
    </row>
    <row r="63" spans="1:9" ht="19.5" customHeight="1">
      <c r="A63" s="374" t="s">
        <v>59</v>
      </c>
      <c r="B63" s="367" t="s">
        <v>477</v>
      </c>
      <c r="C63" s="366" t="s">
        <v>199</v>
      </c>
      <c r="D63" s="366">
        <v>0.4</v>
      </c>
      <c r="E63" s="366">
        <v>9.6</v>
      </c>
      <c r="F63" s="381">
        <f>F41</f>
        <v>5</v>
      </c>
      <c r="G63" s="271">
        <f>VLOOKUP(B63,Thietbi_B_CC!$B$23:$G$27,6,0)</f>
        <v>15000000</v>
      </c>
      <c r="H63" s="271">
        <f t="shared" si="1"/>
        <v>6000</v>
      </c>
      <c r="I63" s="271">
        <f t="shared" si="0"/>
        <v>57600</v>
      </c>
    </row>
    <row r="64" spans="1:9" ht="19.5" customHeight="1">
      <c r="A64" s="374" t="s">
        <v>60</v>
      </c>
      <c r="B64" s="367" t="s">
        <v>496</v>
      </c>
      <c r="C64" s="366" t="s">
        <v>199</v>
      </c>
      <c r="D64" s="366">
        <v>0.4</v>
      </c>
      <c r="E64" s="366">
        <v>0.48</v>
      </c>
      <c r="F64" s="381">
        <f>F63</f>
        <v>5</v>
      </c>
      <c r="G64" s="271">
        <f>VLOOKUP(B64,Thietbi_B_CC!$B$23:$G$27,6,0)</f>
        <v>7200000</v>
      </c>
      <c r="H64" s="271">
        <f t="shared" si="1"/>
        <v>2880</v>
      </c>
      <c r="I64" s="271">
        <f t="shared" si="0"/>
        <v>1382.3999999999999</v>
      </c>
    </row>
    <row r="65" spans="1:9" ht="19.5" customHeight="1">
      <c r="A65" s="374" t="s">
        <v>61</v>
      </c>
      <c r="B65" s="367" t="s">
        <v>263</v>
      </c>
      <c r="C65" s="366" t="s">
        <v>199</v>
      </c>
      <c r="D65" s="366">
        <v>1.5</v>
      </c>
      <c r="E65" s="366">
        <v>1.44</v>
      </c>
      <c r="F65" s="381">
        <f>F62</f>
        <v>8</v>
      </c>
      <c r="G65" s="271">
        <f>VLOOKUP(B65,Thietbi_B_CC!$B$23:$G$27,6,0)</f>
        <v>126000000</v>
      </c>
      <c r="H65" s="271">
        <f t="shared" si="1"/>
        <v>31500</v>
      </c>
      <c r="I65" s="271">
        <f t="shared" si="0"/>
        <v>45360</v>
      </c>
    </row>
    <row r="66" spans="1:9" ht="19.5" customHeight="1">
      <c r="A66" s="374" t="s">
        <v>62</v>
      </c>
      <c r="B66" s="367" t="s">
        <v>229</v>
      </c>
      <c r="C66" s="366" t="s">
        <v>230</v>
      </c>
      <c r="D66" s="366"/>
      <c r="E66" s="366">
        <v>91.56</v>
      </c>
      <c r="F66" s="381"/>
      <c r="G66" s="271">
        <f>VLOOKUP(B66,Thietbi_B_CC!$B$23:$G$27,6,0)</f>
        <v>2200</v>
      </c>
      <c r="H66" s="271">
        <f>G66</f>
        <v>2200</v>
      </c>
      <c r="I66" s="271">
        <f t="shared" si="0"/>
        <v>201432</v>
      </c>
    </row>
    <row r="67" spans="1:9" ht="19.5" customHeight="1">
      <c r="A67" s="374" t="s">
        <v>20</v>
      </c>
      <c r="B67" s="370" t="s">
        <v>182</v>
      </c>
      <c r="C67" s="366" t="s">
        <v>466</v>
      </c>
      <c r="D67" s="368"/>
      <c r="E67" s="368"/>
      <c r="F67" s="381"/>
      <c r="G67" s="271"/>
      <c r="H67" s="271"/>
      <c r="I67" s="271">
        <f>I68+I69+I70+I71+I72</f>
        <v>312568.9</v>
      </c>
    </row>
    <row r="68" spans="1:9" ht="19.5" customHeight="1">
      <c r="A68" s="374" t="s">
        <v>63</v>
      </c>
      <c r="B68" s="367" t="s">
        <v>257</v>
      </c>
      <c r="C68" s="366" t="s">
        <v>199</v>
      </c>
      <c r="D68" s="366">
        <v>2.2</v>
      </c>
      <c r="E68" s="366">
        <v>2.14</v>
      </c>
      <c r="F68" s="381">
        <f>F62</f>
        <v>8</v>
      </c>
      <c r="G68" s="271">
        <f>VLOOKUP(B68,Thietbi_B_CC!$B$23:$G$27,6,0)</f>
        <v>12700000</v>
      </c>
      <c r="H68" s="271">
        <f t="shared" si="1"/>
        <v>3175</v>
      </c>
      <c r="I68" s="271">
        <f t="shared" si="0"/>
        <v>6794.5</v>
      </c>
    </row>
    <row r="69" spans="1:9" ht="19.5" customHeight="1">
      <c r="A69" s="374" t="s">
        <v>64</v>
      </c>
      <c r="B69" s="367" t="s">
        <v>477</v>
      </c>
      <c r="C69" s="366" t="s">
        <v>199</v>
      </c>
      <c r="D69" s="366">
        <v>0.4</v>
      </c>
      <c r="E69" s="366">
        <v>9.6</v>
      </c>
      <c r="F69" s="381">
        <f>F64</f>
        <v>5</v>
      </c>
      <c r="G69" s="271">
        <f>VLOOKUP(B69,Thietbi_B_CC!$B$23:$G$27,6,0)</f>
        <v>15000000</v>
      </c>
      <c r="H69" s="271">
        <f t="shared" si="1"/>
        <v>6000</v>
      </c>
      <c r="I69" s="271">
        <f t="shared" si="0"/>
        <v>57600</v>
      </c>
    </row>
    <row r="70" spans="1:9" ht="19.5" customHeight="1">
      <c r="A70" s="374" t="s">
        <v>65</v>
      </c>
      <c r="B70" s="367" t="s">
        <v>496</v>
      </c>
      <c r="C70" s="366" t="s">
        <v>199</v>
      </c>
      <c r="D70" s="366">
        <v>0.4</v>
      </c>
      <c r="E70" s="366">
        <v>0.48</v>
      </c>
      <c r="F70" s="381">
        <f>F64</f>
        <v>5</v>
      </c>
      <c r="G70" s="271">
        <f>VLOOKUP(B70,Thietbi_B_CC!$B$23:$G$27,6,0)</f>
        <v>7200000</v>
      </c>
      <c r="H70" s="271">
        <f t="shared" si="1"/>
        <v>2880</v>
      </c>
      <c r="I70" s="271">
        <f t="shared" si="0"/>
        <v>1382.3999999999999</v>
      </c>
    </row>
    <row r="71" spans="1:9" ht="19.5" customHeight="1">
      <c r="A71" s="374" t="s">
        <v>66</v>
      </c>
      <c r="B71" s="367" t="s">
        <v>263</v>
      </c>
      <c r="C71" s="366" t="s">
        <v>199</v>
      </c>
      <c r="D71" s="366">
        <v>1.5</v>
      </c>
      <c r="E71" s="366">
        <v>1.44</v>
      </c>
      <c r="F71" s="381">
        <f>F65</f>
        <v>8</v>
      </c>
      <c r="G71" s="271">
        <f>VLOOKUP(B71,Thietbi_B_CC!$B$23:$G$27,6,0)</f>
        <v>126000000</v>
      </c>
      <c r="H71" s="271">
        <f aca="true" t="shared" si="2" ref="H71:H83">G71/F71/500</f>
        <v>31500</v>
      </c>
      <c r="I71" s="271">
        <f aca="true" t="shared" si="3" ref="I71:I84">E71*H71</f>
        <v>45360</v>
      </c>
    </row>
    <row r="72" spans="1:9" ht="19.5" customHeight="1">
      <c r="A72" s="374" t="s">
        <v>67</v>
      </c>
      <c r="B72" s="367" t="s">
        <v>229</v>
      </c>
      <c r="C72" s="366" t="s">
        <v>230</v>
      </c>
      <c r="D72" s="366"/>
      <c r="E72" s="366">
        <v>91.56</v>
      </c>
      <c r="F72" s="381"/>
      <c r="G72" s="271">
        <f>VLOOKUP(B72,Thietbi_B_CC!$B$23:$G$27,6,0)</f>
        <v>2200</v>
      </c>
      <c r="H72" s="271">
        <f>G72</f>
        <v>2200</v>
      </c>
      <c r="I72" s="271">
        <f t="shared" si="3"/>
        <v>201432</v>
      </c>
    </row>
    <row r="73" spans="1:9" ht="19.5" customHeight="1">
      <c r="A73" s="374" t="s">
        <v>101</v>
      </c>
      <c r="B73" s="370" t="s">
        <v>183</v>
      </c>
      <c r="C73" s="366" t="s">
        <v>466</v>
      </c>
      <c r="D73" s="368"/>
      <c r="E73" s="368"/>
      <c r="F73" s="381"/>
      <c r="G73" s="271"/>
      <c r="H73" s="271"/>
      <c r="I73" s="271">
        <f>I74+I75</f>
        <v>76342.5</v>
      </c>
    </row>
    <row r="74" spans="1:9" ht="19.5" customHeight="1">
      <c r="A74" s="374" t="s">
        <v>353</v>
      </c>
      <c r="B74" s="367" t="s">
        <v>257</v>
      </c>
      <c r="C74" s="366" t="s">
        <v>199</v>
      </c>
      <c r="D74" s="366">
        <v>2.2</v>
      </c>
      <c r="E74" s="366">
        <v>1.74</v>
      </c>
      <c r="F74" s="381">
        <f>F68</f>
        <v>8</v>
      </c>
      <c r="G74" s="271">
        <f>VLOOKUP(B74,Thietbi_B_CC!$B$23:$G$27,6,0)</f>
        <v>12700000</v>
      </c>
      <c r="H74" s="271">
        <f t="shared" si="2"/>
        <v>3175</v>
      </c>
      <c r="I74" s="271">
        <f t="shared" si="3"/>
        <v>5524.5</v>
      </c>
    </row>
    <row r="75" spans="1:9" ht="19.5" customHeight="1">
      <c r="A75" s="374" t="s">
        <v>354</v>
      </c>
      <c r="B75" s="367" t="s">
        <v>229</v>
      </c>
      <c r="C75" s="366" t="s">
        <v>230</v>
      </c>
      <c r="D75" s="366"/>
      <c r="E75" s="366">
        <v>32.19</v>
      </c>
      <c r="F75" s="381"/>
      <c r="G75" s="271">
        <f>VLOOKUP(B75,Thietbi_B_CC!$B$23:$G$27,6,0)</f>
        <v>2200</v>
      </c>
      <c r="H75" s="271">
        <f>G75</f>
        <v>2200</v>
      </c>
      <c r="I75" s="271">
        <f t="shared" si="3"/>
        <v>70818</v>
      </c>
    </row>
    <row r="76" spans="1:9" ht="19.5" customHeight="1">
      <c r="A76" s="374" t="s">
        <v>74</v>
      </c>
      <c r="B76" s="370" t="s">
        <v>184</v>
      </c>
      <c r="C76" s="366" t="s">
        <v>466</v>
      </c>
      <c r="D76" s="368"/>
      <c r="E76" s="368"/>
      <c r="F76" s="381"/>
      <c r="G76" s="271"/>
      <c r="H76" s="271"/>
      <c r="I76" s="271">
        <f>I77+I78+I79+I80+I81</f>
        <v>14409.85</v>
      </c>
    </row>
    <row r="77" spans="1:9" ht="19.5" customHeight="1">
      <c r="A77" s="374" t="s">
        <v>358</v>
      </c>
      <c r="B77" s="367" t="s">
        <v>257</v>
      </c>
      <c r="C77" s="366" t="s">
        <v>199</v>
      </c>
      <c r="D77" s="366">
        <v>2.2</v>
      </c>
      <c r="E77" s="366">
        <v>0.11</v>
      </c>
      <c r="F77" s="381">
        <f>F74</f>
        <v>8</v>
      </c>
      <c r="G77" s="271">
        <f>VLOOKUP(B77,Thietbi_B_CC!$B$23:$G$27,6,0)</f>
        <v>12700000</v>
      </c>
      <c r="H77" s="271">
        <f t="shared" si="2"/>
        <v>3175</v>
      </c>
      <c r="I77" s="271">
        <f t="shared" si="3"/>
        <v>349.25</v>
      </c>
    </row>
    <row r="78" spans="1:9" ht="19.5" customHeight="1">
      <c r="A78" s="374" t="s">
        <v>359</v>
      </c>
      <c r="B78" s="367" t="s">
        <v>477</v>
      </c>
      <c r="C78" s="366" t="s">
        <v>199</v>
      </c>
      <c r="D78" s="366">
        <v>0.4</v>
      </c>
      <c r="E78" s="366">
        <v>0.48</v>
      </c>
      <c r="F78" s="381">
        <f>F69</f>
        <v>5</v>
      </c>
      <c r="G78" s="271">
        <f>VLOOKUP(B78,Thietbi_B_CC!$B$23:$G$27,6,0)</f>
        <v>15000000</v>
      </c>
      <c r="H78" s="271">
        <f t="shared" si="2"/>
        <v>6000</v>
      </c>
      <c r="I78" s="271">
        <f t="shared" si="3"/>
        <v>2880</v>
      </c>
    </row>
    <row r="79" spans="1:9" ht="19.5" customHeight="1">
      <c r="A79" s="374" t="s">
        <v>360</v>
      </c>
      <c r="B79" s="367" t="s">
        <v>496</v>
      </c>
      <c r="C79" s="366" t="s">
        <v>199</v>
      </c>
      <c r="D79" s="366">
        <v>0.4</v>
      </c>
      <c r="E79" s="366">
        <v>0.02</v>
      </c>
      <c r="F79" s="381">
        <f>F70</f>
        <v>5</v>
      </c>
      <c r="G79" s="271">
        <f>VLOOKUP(B79,Thietbi_B_CC!$B$23:$G$27,6,0)</f>
        <v>7200000</v>
      </c>
      <c r="H79" s="271">
        <f t="shared" si="2"/>
        <v>2880</v>
      </c>
      <c r="I79" s="271">
        <f t="shared" si="3"/>
        <v>57.6</v>
      </c>
    </row>
    <row r="80" spans="1:9" ht="19.5" customHeight="1">
      <c r="A80" s="374" t="s">
        <v>361</v>
      </c>
      <c r="B80" s="367" t="s">
        <v>263</v>
      </c>
      <c r="C80" s="366" t="s">
        <v>199</v>
      </c>
      <c r="D80" s="366">
        <v>1.5</v>
      </c>
      <c r="E80" s="366">
        <v>0.05</v>
      </c>
      <c r="F80" s="381">
        <f>F71</f>
        <v>8</v>
      </c>
      <c r="G80" s="271">
        <f>VLOOKUP(B80,Thietbi_B_CC!$B$23:$G$27,6,0)</f>
        <v>126000000</v>
      </c>
      <c r="H80" s="271">
        <f t="shared" si="2"/>
        <v>31500</v>
      </c>
      <c r="I80" s="271">
        <f t="shared" si="3"/>
        <v>1575</v>
      </c>
    </row>
    <row r="81" spans="1:9" ht="19.5" customHeight="1">
      <c r="A81" s="374" t="s">
        <v>362</v>
      </c>
      <c r="B81" s="367" t="s">
        <v>229</v>
      </c>
      <c r="C81" s="366" t="s">
        <v>230</v>
      </c>
      <c r="D81" s="366"/>
      <c r="E81" s="366">
        <v>4.34</v>
      </c>
      <c r="F81" s="381"/>
      <c r="G81" s="271">
        <f>VLOOKUP(B81,Thietbi_B_CC!$B$23:$G$27,6,0)</f>
        <v>2200</v>
      </c>
      <c r="H81" s="271">
        <f>G81</f>
        <v>2200</v>
      </c>
      <c r="I81" s="271">
        <f t="shared" si="3"/>
        <v>9548</v>
      </c>
    </row>
    <row r="82" spans="1:9" s="362" customFormat="1" ht="19.5" customHeight="1">
      <c r="A82" s="402">
        <v>4</v>
      </c>
      <c r="B82" s="403" t="s">
        <v>185</v>
      </c>
      <c r="C82" s="404"/>
      <c r="D82" s="404"/>
      <c r="E82" s="404"/>
      <c r="F82" s="405"/>
      <c r="G82" s="406"/>
      <c r="H82" s="406"/>
      <c r="I82" s="406">
        <f>I83+I84</f>
        <v>11857.25</v>
      </c>
    </row>
    <row r="83" spans="1:9" ht="19.5" customHeight="1">
      <c r="A83" s="376" t="s">
        <v>104</v>
      </c>
      <c r="B83" s="372" t="s">
        <v>257</v>
      </c>
      <c r="C83" s="371" t="s">
        <v>199</v>
      </c>
      <c r="D83" s="371">
        <v>2.2</v>
      </c>
      <c r="E83" s="371">
        <v>0.27</v>
      </c>
      <c r="F83" s="383">
        <f>F77</f>
        <v>8</v>
      </c>
      <c r="G83" s="281">
        <f>VLOOKUP(B83,Thietbi_B_CC!$B$23:$G$27,6,0)</f>
        <v>12700000</v>
      </c>
      <c r="H83" s="281">
        <f t="shared" si="2"/>
        <v>3175</v>
      </c>
      <c r="I83" s="281">
        <f t="shared" si="3"/>
        <v>857.25</v>
      </c>
    </row>
    <row r="84" spans="1:9" ht="19.5" customHeight="1">
      <c r="A84" s="377" t="s">
        <v>105</v>
      </c>
      <c r="B84" s="365" t="s">
        <v>229</v>
      </c>
      <c r="C84" s="364" t="s">
        <v>230</v>
      </c>
      <c r="D84" s="364"/>
      <c r="E84" s="364">
        <v>5</v>
      </c>
      <c r="F84" s="384"/>
      <c r="G84" s="386">
        <f>VLOOKUP(B84,Thietbi_B_CC!$B$23:$G$27,6,0)</f>
        <v>2200</v>
      </c>
      <c r="H84" s="386">
        <f>G84</f>
        <v>2200</v>
      </c>
      <c r="I84" s="386">
        <f t="shared" si="3"/>
        <v>11000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4">
      <selection activeCell="G7" sqref="G7"/>
    </sheetView>
  </sheetViews>
  <sheetFormatPr defaultColWidth="9.140625" defaultRowHeight="19.5" customHeight="1"/>
  <cols>
    <col min="1" max="1" width="9.140625" style="138" customWidth="1"/>
    <col min="2" max="2" width="28.28125" style="138" customWidth="1"/>
    <col min="3" max="3" width="9.140625" style="138" customWidth="1"/>
    <col min="4" max="4" width="11.57421875" style="138" customWidth="1"/>
    <col min="5" max="5" width="9.140625" style="138" customWidth="1"/>
    <col min="6" max="6" width="9.57421875" style="138" customWidth="1"/>
    <col min="7" max="8" width="13.7109375" style="138" customWidth="1"/>
    <col min="9" max="9" width="13.00390625" style="286" customWidth="1"/>
    <col min="10" max="16384" width="9.140625" style="138" customWidth="1"/>
  </cols>
  <sheetData>
    <row r="1" spans="1:9" ht="19.5" customHeight="1">
      <c r="A1" s="449" t="s">
        <v>243</v>
      </c>
      <c r="B1" s="449"/>
      <c r="C1" s="449"/>
      <c r="D1" s="449"/>
      <c r="E1" s="449"/>
      <c r="F1" s="449"/>
      <c r="G1" s="449"/>
      <c r="H1" s="449"/>
      <c r="I1" s="449"/>
    </row>
    <row r="2" spans="1:9" ht="19.5" customHeight="1">
      <c r="A2" s="449" t="s">
        <v>498</v>
      </c>
      <c r="B2" s="449"/>
      <c r="C2" s="449"/>
      <c r="D2" s="449"/>
      <c r="E2" s="449"/>
      <c r="F2" s="449"/>
      <c r="G2" s="449"/>
      <c r="H2" s="449"/>
      <c r="I2" s="449"/>
    </row>
    <row r="3" spans="1:9" ht="19.5" customHeight="1">
      <c r="A3" s="226"/>
      <c r="B3" s="226"/>
      <c r="C3" s="226"/>
      <c r="D3" s="226"/>
      <c r="E3" s="226"/>
      <c r="F3" s="226"/>
      <c r="G3" s="226" t="s">
        <v>499</v>
      </c>
      <c r="H3" s="226"/>
      <c r="I3" s="285"/>
    </row>
    <row r="4" spans="1:9" ht="26.25" customHeight="1">
      <c r="A4" s="133" t="s">
        <v>238</v>
      </c>
      <c r="B4" s="133" t="s">
        <v>470</v>
      </c>
      <c r="C4" s="133" t="s">
        <v>493</v>
      </c>
      <c r="D4" s="133" t="s">
        <v>255</v>
      </c>
      <c r="E4" s="133" t="s">
        <v>245</v>
      </c>
      <c r="F4" s="240" t="s">
        <v>295</v>
      </c>
      <c r="G4" s="240" t="s">
        <v>491</v>
      </c>
      <c r="H4" s="240" t="s">
        <v>500</v>
      </c>
      <c r="I4" s="109" t="s">
        <v>197</v>
      </c>
    </row>
    <row r="5" spans="1:9" s="299" customFormat="1" ht="19.5" customHeight="1">
      <c r="A5" s="300">
        <v>1</v>
      </c>
      <c r="B5" s="57" t="s">
        <v>154</v>
      </c>
      <c r="C5" s="300"/>
      <c r="D5" s="300"/>
      <c r="E5" s="300"/>
      <c r="F5" s="301"/>
      <c r="G5" s="301"/>
      <c r="H5" s="301"/>
      <c r="I5" s="283">
        <f>I6+I7</f>
        <v>8797</v>
      </c>
    </row>
    <row r="6" spans="1:9" s="282" customFormat="1" ht="19.5" customHeight="1">
      <c r="A6" s="287" t="s">
        <v>11</v>
      </c>
      <c r="B6" s="288" t="s">
        <v>257</v>
      </c>
      <c r="C6" s="287" t="s">
        <v>199</v>
      </c>
      <c r="D6" s="287">
        <v>2.2</v>
      </c>
      <c r="E6" s="287">
        <v>0.2</v>
      </c>
      <c r="F6" s="289">
        <f>Thietbi_B_BQ!F5</f>
        <v>8</v>
      </c>
      <c r="G6" s="290">
        <f>Thietbi_A_TN_KT_BG_BC!G95</f>
        <v>12700000</v>
      </c>
      <c r="H6" s="289">
        <f>G6/F6/500</f>
        <v>3175</v>
      </c>
      <c r="I6" s="290">
        <f>E6*H6</f>
        <v>635</v>
      </c>
    </row>
    <row r="7" spans="1:9" s="282" customFormat="1" ht="19.5" customHeight="1">
      <c r="A7" s="287" t="s">
        <v>12</v>
      </c>
      <c r="B7" s="288" t="s">
        <v>229</v>
      </c>
      <c r="C7" s="287" t="s">
        <v>230</v>
      </c>
      <c r="D7" s="287"/>
      <c r="E7" s="287">
        <v>3.71</v>
      </c>
      <c r="F7" s="289"/>
      <c r="G7" s="290">
        <f>Thietbi_A_TN_KT_BG_BC!G99</f>
        <v>2200</v>
      </c>
      <c r="H7" s="290">
        <f>G7</f>
        <v>2200</v>
      </c>
      <c r="I7" s="290">
        <f>E7*H7</f>
        <v>8162</v>
      </c>
    </row>
    <row r="8" spans="1:9" s="299" customFormat="1" ht="19.5" customHeight="1">
      <c r="A8" s="295">
        <v>2</v>
      </c>
      <c r="B8" s="57" t="s">
        <v>155</v>
      </c>
      <c r="C8" s="295"/>
      <c r="D8" s="295"/>
      <c r="E8" s="295"/>
      <c r="F8" s="297"/>
      <c r="G8" s="298"/>
      <c r="H8" s="297"/>
      <c r="I8" s="298">
        <f>I9+I13</f>
        <v>49694</v>
      </c>
    </row>
    <row r="9" spans="1:9" ht="19.5" customHeight="1">
      <c r="A9" s="56" t="s">
        <v>13</v>
      </c>
      <c r="B9" s="57" t="s">
        <v>494</v>
      </c>
      <c r="C9" s="287"/>
      <c r="D9" s="287"/>
      <c r="E9" s="287"/>
      <c r="F9" s="291"/>
      <c r="G9" s="99"/>
      <c r="H9" s="291"/>
      <c r="I9" s="99">
        <f>I10+I11+I12</f>
        <v>29372</v>
      </c>
    </row>
    <row r="10" spans="1:9" s="282" customFormat="1" ht="19.5" customHeight="1">
      <c r="A10" s="287" t="s">
        <v>40</v>
      </c>
      <c r="B10" s="288" t="s">
        <v>263</v>
      </c>
      <c r="C10" s="287" t="s">
        <v>199</v>
      </c>
      <c r="D10" s="287">
        <v>1.5</v>
      </c>
      <c r="E10" s="287">
        <v>0.2</v>
      </c>
      <c r="F10" s="289">
        <f>Thietbi_A_TN_KT_BG_BC!F9</f>
        <v>8</v>
      </c>
      <c r="G10" s="290">
        <f>Thietbi_A_TN_KT_BG_BC!G103</f>
        <v>126000000</v>
      </c>
      <c r="H10" s="289">
        <f>G10/F10/500</f>
        <v>31500</v>
      </c>
      <c r="I10" s="290">
        <f>E10*H10</f>
        <v>6300</v>
      </c>
    </row>
    <row r="11" spans="1:9" s="282" customFormat="1" ht="19.5" customHeight="1">
      <c r="A11" s="287" t="s">
        <v>41</v>
      </c>
      <c r="B11" s="288" t="s">
        <v>495</v>
      </c>
      <c r="C11" s="287" t="s">
        <v>199</v>
      </c>
      <c r="D11" s="287">
        <v>2.2</v>
      </c>
      <c r="E11" s="287">
        <v>0.4</v>
      </c>
      <c r="F11" s="289">
        <f>Thietbi_B_BQ!F10</f>
        <v>8</v>
      </c>
      <c r="G11" s="290">
        <f>G6</f>
        <v>12700000</v>
      </c>
      <c r="H11" s="289">
        <f>G11/F11/500</f>
        <v>3175</v>
      </c>
      <c r="I11" s="290">
        <f>E11*H11</f>
        <v>1270</v>
      </c>
    </row>
    <row r="12" spans="1:9" s="282" customFormat="1" ht="19.5" customHeight="1">
      <c r="A12" s="287" t="s">
        <v>124</v>
      </c>
      <c r="B12" s="288" t="s">
        <v>229</v>
      </c>
      <c r="C12" s="287" t="s">
        <v>230</v>
      </c>
      <c r="D12" s="287"/>
      <c r="E12" s="287">
        <v>9.91</v>
      </c>
      <c r="F12" s="289"/>
      <c r="G12" s="290">
        <f>G7</f>
        <v>2200</v>
      </c>
      <c r="H12" s="290">
        <f>G12</f>
        <v>2200</v>
      </c>
      <c r="I12" s="290">
        <f>E12*H12</f>
        <v>21802</v>
      </c>
    </row>
    <row r="13" spans="1:9" ht="19.5" customHeight="1">
      <c r="A13" s="56" t="s">
        <v>14</v>
      </c>
      <c r="B13" s="57" t="s">
        <v>139</v>
      </c>
      <c r="C13" s="287"/>
      <c r="D13" s="287"/>
      <c r="E13" s="287"/>
      <c r="F13" s="291"/>
      <c r="G13" s="99"/>
      <c r="H13" s="291"/>
      <c r="I13" s="99">
        <f>I14+I15+I16+I17+I18</f>
        <v>20322</v>
      </c>
    </row>
    <row r="14" spans="1:9" s="282" customFormat="1" ht="19.5" customHeight="1">
      <c r="A14" s="287" t="s">
        <v>135</v>
      </c>
      <c r="B14" s="292" t="s">
        <v>257</v>
      </c>
      <c r="C14" s="287" t="s">
        <v>199</v>
      </c>
      <c r="D14" s="287">
        <v>2.2</v>
      </c>
      <c r="E14" s="287">
        <v>0.4</v>
      </c>
      <c r="F14" s="289">
        <f>Thietbi_B_BQ!F13</f>
        <v>8</v>
      </c>
      <c r="G14" s="290">
        <f>G6</f>
        <v>12700000</v>
      </c>
      <c r="H14" s="289">
        <f>G14/F14/500</f>
        <v>3175</v>
      </c>
      <c r="I14" s="290">
        <f>E14*H14</f>
        <v>1270</v>
      </c>
    </row>
    <row r="15" spans="1:9" s="282" customFormat="1" ht="19.5" customHeight="1">
      <c r="A15" s="287" t="s">
        <v>137</v>
      </c>
      <c r="B15" s="292" t="s">
        <v>477</v>
      </c>
      <c r="C15" s="287" t="s">
        <v>199</v>
      </c>
      <c r="D15" s="287">
        <v>0.4</v>
      </c>
      <c r="E15" s="287">
        <v>0.2</v>
      </c>
      <c r="F15" s="289">
        <f>Thietbi_B_BQ!F21</f>
        <v>5</v>
      </c>
      <c r="G15" s="290">
        <f>Thietbi_A_TN_KT_BG_BC!G96</f>
        <v>15000000</v>
      </c>
      <c r="H15" s="289">
        <f>G15/F15/500</f>
        <v>6000</v>
      </c>
      <c r="I15" s="290">
        <f>E15*H15</f>
        <v>1200</v>
      </c>
    </row>
    <row r="16" spans="1:9" s="282" customFormat="1" ht="19.5" customHeight="1">
      <c r="A16" s="287" t="s">
        <v>138</v>
      </c>
      <c r="B16" s="292" t="s">
        <v>496</v>
      </c>
      <c r="C16" s="287" t="s">
        <v>199</v>
      </c>
      <c r="D16" s="287">
        <v>0.4</v>
      </c>
      <c r="E16" s="287">
        <v>0.01</v>
      </c>
      <c r="F16" s="289">
        <f>Thietbi_A_TN_KT_BG_BC!F10</f>
        <v>5</v>
      </c>
      <c r="G16" s="290">
        <f>Thietbi_A_TN_KT_BG_BC!G98</f>
        <v>7200000</v>
      </c>
      <c r="H16" s="289">
        <f>G16/F16/500</f>
        <v>2880</v>
      </c>
      <c r="I16" s="290">
        <f>E16*H16</f>
        <v>28.8</v>
      </c>
    </row>
    <row r="17" spans="1:9" s="282" customFormat="1" ht="19.5" customHeight="1">
      <c r="A17" s="287" t="s">
        <v>141</v>
      </c>
      <c r="B17" s="292" t="s">
        <v>479</v>
      </c>
      <c r="C17" s="287" t="s">
        <v>199</v>
      </c>
      <c r="D17" s="287">
        <v>0.04</v>
      </c>
      <c r="E17" s="287">
        <v>0.01</v>
      </c>
      <c r="F17" s="293">
        <v>5</v>
      </c>
      <c r="G17" s="294">
        <v>800000</v>
      </c>
      <c r="H17" s="289">
        <f>G17/F17/500</f>
        <v>320</v>
      </c>
      <c r="I17" s="290">
        <f>E17*H17</f>
        <v>3.2</v>
      </c>
    </row>
    <row r="18" spans="1:9" s="282" customFormat="1" ht="19.5" customHeight="1">
      <c r="A18" s="287" t="s">
        <v>144</v>
      </c>
      <c r="B18" s="292" t="s">
        <v>229</v>
      </c>
      <c r="C18" s="287" t="s">
        <v>230</v>
      </c>
      <c r="D18" s="287"/>
      <c r="E18" s="287">
        <v>8.1</v>
      </c>
      <c r="F18" s="289"/>
      <c r="G18" s="290">
        <f>G12</f>
        <v>2200</v>
      </c>
      <c r="H18" s="290">
        <f>G18</f>
        <v>2200</v>
      </c>
      <c r="I18" s="290">
        <f>E18*H18</f>
        <v>17820</v>
      </c>
    </row>
    <row r="19" spans="1:9" s="299" customFormat="1" ht="19.5" customHeight="1">
      <c r="A19" s="295">
        <v>3</v>
      </c>
      <c r="B19" s="57" t="s">
        <v>156</v>
      </c>
      <c r="C19" s="295"/>
      <c r="D19" s="295"/>
      <c r="E19" s="295"/>
      <c r="F19" s="297"/>
      <c r="G19" s="298"/>
      <c r="H19" s="297"/>
      <c r="I19" s="298">
        <f>I20+I21</f>
        <v>8797</v>
      </c>
    </row>
    <row r="20" spans="1:9" s="282" customFormat="1" ht="19.5" customHeight="1">
      <c r="A20" s="287" t="s">
        <v>19</v>
      </c>
      <c r="B20" s="292" t="s">
        <v>257</v>
      </c>
      <c r="C20" s="287" t="s">
        <v>199</v>
      </c>
      <c r="D20" s="287">
        <v>2.2</v>
      </c>
      <c r="E20" s="287">
        <v>0.2</v>
      </c>
      <c r="F20" s="289">
        <f>F14</f>
        <v>8</v>
      </c>
      <c r="G20" s="290">
        <f>G14</f>
        <v>12700000</v>
      </c>
      <c r="H20" s="289">
        <f>G20/F20/500</f>
        <v>3175</v>
      </c>
      <c r="I20" s="290">
        <f aca="true" t="shared" si="0" ref="I20:I27">E20*H20</f>
        <v>635</v>
      </c>
    </row>
    <row r="21" spans="1:9" s="282" customFormat="1" ht="19.5" customHeight="1">
      <c r="A21" s="287" t="s">
        <v>20</v>
      </c>
      <c r="B21" s="292" t="s">
        <v>229</v>
      </c>
      <c r="C21" s="287" t="s">
        <v>230</v>
      </c>
      <c r="D21" s="287"/>
      <c r="E21" s="287">
        <v>3.71</v>
      </c>
      <c r="F21" s="289"/>
      <c r="G21" s="290">
        <f>G12</f>
        <v>2200</v>
      </c>
      <c r="H21" s="290">
        <f>G21</f>
        <v>2200</v>
      </c>
      <c r="I21" s="290">
        <f t="shared" si="0"/>
        <v>8162</v>
      </c>
    </row>
    <row r="22" spans="1:9" s="299" customFormat="1" ht="19.5" customHeight="1">
      <c r="A22" s="295">
        <v>4</v>
      </c>
      <c r="B22" s="57" t="s">
        <v>157</v>
      </c>
      <c r="C22" s="295"/>
      <c r="D22" s="295"/>
      <c r="E22" s="295"/>
      <c r="F22" s="297"/>
      <c r="G22" s="298"/>
      <c r="H22" s="297"/>
      <c r="I22" s="298">
        <f>I23+I24+I25+I26+I27</f>
        <v>4803.05</v>
      </c>
    </row>
    <row r="23" spans="1:9" s="282" customFormat="1" ht="19.5" customHeight="1">
      <c r="A23" s="287" t="s">
        <v>104</v>
      </c>
      <c r="B23" s="292" t="s">
        <v>257</v>
      </c>
      <c r="C23" s="287" t="s">
        <v>199</v>
      </c>
      <c r="D23" s="287">
        <v>2.2</v>
      </c>
      <c r="E23" s="287">
        <v>0.03</v>
      </c>
      <c r="F23" s="289">
        <f>F20</f>
        <v>8</v>
      </c>
      <c r="G23" s="290">
        <f>G20</f>
        <v>12700000</v>
      </c>
      <c r="H23" s="289">
        <f>G23/F23/500</f>
        <v>3175</v>
      </c>
      <c r="I23" s="290">
        <f t="shared" si="0"/>
        <v>95.25</v>
      </c>
    </row>
    <row r="24" spans="1:9" s="282" customFormat="1" ht="19.5" customHeight="1">
      <c r="A24" s="287" t="s">
        <v>105</v>
      </c>
      <c r="B24" s="292" t="s">
        <v>477</v>
      </c>
      <c r="C24" s="287" t="s">
        <v>199</v>
      </c>
      <c r="D24" s="287">
        <v>0.4</v>
      </c>
      <c r="E24" s="287">
        <v>0.12</v>
      </c>
      <c r="F24" s="289">
        <v>5</v>
      </c>
      <c r="G24" s="290">
        <f>G15</f>
        <v>15000000</v>
      </c>
      <c r="H24" s="289">
        <f>G24/F24/500</f>
        <v>6000</v>
      </c>
      <c r="I24" s="290">
        <f t="shared" si="0"/>
        <v>720</v>
      </c>
    </row>
    <row r="25" spans="1:9" s="282" customFormat="1" ht="19.5" customHeight="1">
      <c r="A25" s="287" t="s">
        <v>106</v>
      </c>
      <c r="B25" s="292" t="s">
        <v>496</v>
      </c>
      <c r="C25" s="287" t="s">
        <v>199</v>
      </c>
      <c r="D25" s="287">
        <v>0.4</v>
      </c>
      <c r="E25" s="287">
        <v>0.01</v>
      </c>
      <c r="F25" s="289">
        <f>Thietbi_A_TN_KT_BG_BC!F104</f>
        <v>5</v>
      </c>
      <c r="G25" s="290">
        <f>G16</f>
        <v>7200000</v>
      </c>
      <c r="H25" s="289">
        <f>G25/F25/500</f>
        <v>2880</v>
      </c>
      <c r="I25" s="290">
        <f t="shared" si="0"/>
        <v>28.8</v>
      </c>
    </row>
    <row r="26" spans="1:9" s="282" customFormat="1" ht="19.5" customHeight="1">
      <c r="A26" s="287" t="s">
        <v>107</v>
      </c>
      <c r="B26" s="292" t="s">
        <v>263</v>
      </c>
      <c r="C26" s="287" t="s">
        <v>199</v>
      </c>
      <c r="D26" s="287">
        <v>1.5</v>
      </c>
      <c r="E26" s="287">
        <v>0.03</v>
      </c>
      <c r="F26" s="289">
        <f>Thietbi_A_TN_KT_BG_BC!F103</f>
        <v>8</v>
      </c>
      <c r="G26" s="290">
        <f>G10</f>
        <v>126000000</v>
      </c>
      <c r="H26" s="289">
        <f>G26/F26/500</f>
        <v>31500</v>
      </c>
      <c r="I26" s="290">
        <f t="shared" si="0"/>
        <v>945</v>
      </c>
    </row>
    <row r="27" spans="1:9" s="282" customFormat="1" ht="19.5" customHeight="1">
      <c r="A27" s="302" t="s">
        <v>108</v>
      </c>
      <c r="B27" s="303" t="s">
        <v>229</v>
      </c>
      <c r="C27" s="302" t="s">
        <v>230</v>
      </c>
      <c r="D27" s="302"/>
      <c r="E27" s="302">
        <v>1.37</v>
      </c>
      <c r="F27" s="304"/>
      <c r="G27" s="305">
        <f>G21</f>
        <v>2200</v>
      </c>
      <c r="H27" s="305">
        <f>G27</f>
        <v>2200</v>
      </c>
      <c r="I27" s="305">
        <f t="shared" si="0"/>
        <v>3014.0000000000005</v>
      </c>
    </row>
    <row r="28" spans="1:9" ht="19.5" customHeight="1">
      <c r="A28" s="52"/>
      <c r="B28" s="306" t="s">
        <v>18</v>
      </c>
      <c r="C28" s="52"/>
      <c r="D28" s="52"/>
      <c r="E28" s="52"/>
      <c r="F28" s="52"/>
      <c r="G28" s="52"/>
      <c r="H28" s="52"/>
      <c r="I28" s="53">
        <f>I5+I8+I19+I22</f>
        <v>72091.05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9">
      <selection activeCell="B22" sqref="B22"/>
    </sheetView>
  </sheetViews>
  <sheetFormatPr defaultColWidth="9.140625" defaultRowHeight="19.5" customHeight="1"/>
  <cols>
    <col min="1" max="1" width="9.140625" style="136" customWidth="1"/>
    <col min="2" max="2" width="47.140625" style="136" customWidth="1"/>
    <col min="3" max="3" width="12.140625" style="136" customWidth="1"/>
    <col min="4" max="4" width="12.421875" style="136" customWidth="1"/>
    <col min="5" max="6" width="9.140625" style="136" customWidth="1"/>
    <col min="7" max="7" width="11.7109375" style="136" bestFit="1" customWidth="1"/>
    <col min="8" max="8" width="11.7109375" style="136" customWidth="1"/>
    <col min="9" max="9" width="10.8515625" style="135" customWidth="1"/>
    <col min="10" max="16384" width="9.140625" style="136" customWidth="1"/>
  </cols>
  <sheetData>
    <row r="1" spans="1:9" ht="19.5" customHeight="1">
      <c r="A1" s="458" t="s">
        <v>243</v>
      </c>
      <c r="B1" s="458"/>
      <c r="C1" s="458"/>
      <c r="D1" s="458"/>
      <c r="E1" s="458"/>
      <c r="F1" s="458"/>
      <c r="G1" s="458"/>
      <c r="H1" s="458"/>
      <c r="I1" s="458"/>
    </row>
    <row r="2" spans="1:9" ht="19.5" customHeight="1">
      <c r="A2" s="458" t="s">
        <v>497</v>
      </c>
      <c r="B2" s="458"/>
      <c r="C2" s="458"/>
      <c r="D2" s="458"/>
      <c r="E2" s="458"/>
      <c r="F2" s="458"/>
      <c r="G2" s="458"/>
      <c r="H2" s="458"/>
      <c r="I2" s="458"/>
    </row>
    <row r="3" spans="1:9" ht="33.75" customHeight="1">
      <c r="A3" s="133" t="s">
        <v>238</v>
      </c>
      <c r="B3" s="133" t="s">
        <v>470</v>
      </c>
      <c r="C3" s="133" t="s">
        <v>192</v>
      </c>
      <c r="D3" s="133" t="s">
        <v>471</v>
      </c>
      <c r="E3" s="133" t="s">
        <v>245</v>
      </c>
      <c r="F3" s="240" t="s">
        <v>295</v>
      </c>
      <c r="G3" s="240" t="s">
        <v>491</v>
      </c>
      <c r="H3" s="240" t="s">
        <v>500</v>
      </c>
      <c r="I3" s="283" t="s">
        <v>197</v>
      </c>
    </row>
    <row r="4" spans="1:9" s="171" customFormat="1" ht="19.5" customHeight="1">
      <c r="A4" s="263" t="s">
        <v>9</v>
      </c>
      <c r="B4" s="264" t="s">
        <v>120</v>
      </c>
      <c r="C4" s="265" t="s">
        <v>492</v>
      </c>
      <c r="D4" s="263"/>
      <c r="E4" s="265"/>
      <c r="F4" s="266"/>
      <c r="G4" s="266"/>
      <c r="I4" s="49">
        <f>I5+I6</f>
        <v>124431.24999999999</v>
      </c>
    </row>
    <row r="5" spans="1:9" s="259" customFormat="1" ht="19.5" customHeight="1">
      <c r="A5" s="267" t="s">
        <v>11</v>
      </c>
      <c r="B5" s="268" t="s">
        <v>257</v>
      </c>
      <c r="C5" s="267" t="s">
        <v>199</v>
      </c>
      <c r="D5" s="267">
        <v>2.2</v>
      </c>
      <c r="E5" s="269">
        <v>3.55</v>
      </c>
      <c r="F5" s="270">
        <f>Thietbi_A_TN_KT_BG_BC!F6</f>
        <v>8</v>
      </c>
      <c r="G5" s="271">
        <f>Thietbi_A_TN_KT_BG_BC!G6</f>
        <v>12700000</v>
      </c>
      <c r="H5" s="271">
        <f>G5/F5/500</f>
        <v>3175</v>
      </c>
      <c r="I5" s="271">
        <f>E5*H5</f>
        <v>11271.25</v>
      </c>
    </row>
    <row r="6" spans="1:9" s="259" customFormat="1" ht="19.5" customHeight="1">
      <c r="A6" s="267" t="s">
        <v>12</v>
      </c>
      <c r="B6" s="268" t="s">
        <v>229</v>
      </c>
      <c r="C6" s="267" t="s">
        <v>230</v>
      </c>
      <c r="D6" s="267"/>
      <c r="E6" s="269">
        <v>65.6</v>
      </c>
      <c r="F6" s="270"/>
      <c r="G6" s="270">
        <f>1725</f>
        <v>1725</v>
      </c>
      <c r="H6" s="271">
        <f>G6</f>
        <v>1725</v>
      </c>
      <c r="I6" s="271">
        <f aca="true" t="shared" si="0" ref="I6:I68">E6*H6</f>
        <v>113159.99999999999</v>
      </c>
    </row>
    <row r="7" spans="1:9" s="171" customFormat="1" ht="19.5" customHeight="1">
      <c r="A7" s="145" t="s">
        <v>10</v>
      </c>
      <c r="B7" s="272" t="s">
        <v>121</v>
      </c>
      <c r="C7" s="145"/>
      <c r="D7" s="145"/>
      <c r="E7" s="273"/>
      <c r="F7" s="274"/>
      <c r="G7" s="274"/>
      <c r="H7" s="49"/>
      <c r="I7" s="271">
        <f>I8+I31+I50</f>
        <v>297023</v>
      </c>
    </row>
    <row r="8" spans="1:9" ht="19.5" customHeight="1">
      <c r="A8" s="151">
        <v>1</v>
      </c>
      <c r="B8" s="275" t="s">
        <v>459</v>
      </c>
      <c r="C8" s="151"/>
      <c r="D8" s="151"/>
      <c r="E8" s="177"/>
      <c r="F8" s="178"/>
      <c r="G8" s="178"/>
      <c r="H8" s="155"/>
      <c r="I8" s="271">
        <f>I9+I12+I15+I18</f>
        <v>90284</v>
      </c>
    </row>
    <row r="9" spans="1:9" ht="19.5" customHeight="1">
      <c r="A9" s="151" t="s">
        <v>11</v>
      </c>
      <c r="B9" s="275" t="s">
        <v>69</v>
      </c>
      <c r="C9" s="151" t="s">
        <v>469</v>
      </c>
      <c r="D9" s="151"/>
      <c r="E9" s="269"/>
      <c r="F9" s="178"/>
      <c r="G9" s="178"/>
      <c r="H9" s="155"/>
      <c r="I9" s="271">
        <f>I10+I11</f>
        <v>56378.75</v>
      </c>
    </row>
    <row r="10" spans="1:9" s="259" customFormat="1" ht="19.5" customHeight="1">
      <c r="A10" s="267" t="s">
        <v>72</v>
      </c>
      <c r="B10" s="268" t="s">
        <v>472</v>
      </c>
      <c r="C10" s="267" t="s">
        <v>199</v>
      </c>
      <c r="D10" s="267">
        <v>2.2</v>
      </c>
      <c r="E10" s="269">
        <v>1.61</v>
      </c>
      <c r="F10" s="270">
        <f>F5</f>
        <v>8</v>
      </c>
      <c r="G10" s="270">
        <f>G5</f>
        <v>12700000</v>
      </c>
      <c r="H10" s="271">
        <f>G10/F10/500</f>
        <v>3175</v>
      </c>
      <c r="I10" s="271">
        <f t="shared" si="0"/>
        <v>5111.75</v>
      </c>
    </row>
    <row r="11" spans="1:9" s="259" customFormat="1" ht="19.5" customHeight="1">
      <c r="A11" s="267" t="s">
        <v>258</v>
      </c>
      <c r="B11" s="268" t="s">
        <v>229</v>
      </c>
      <c r="C11" s="267" t="s">
        <v>230</v>
      </c>
      <c r="D11" s="267"/>
      <c r="E11" s="269">
        <v>29.72</v>
      </c>
      <c r="F11" s="270"/>
      <c r="G11" s="270">
        <f>G6</f>
        <v>1725</v>
      </c>
      <c r="H11" s="271">
        <f>G11</f>
        <v>1725</v>
      </c>
      <c r="I11" s="271">
        <f t="shared" si="0"/>
        <v>51267</v>
      </c>
    </row>
    <row r="12" spans="1:9" ht="19.5" customHeight="1">
      <c r="A12" s="151" t="s">
        <v>12</v>
      </c>
      <c r="B12" s="275" t="s">
        <v>123</v>
      </c>
      <c r="C12" s="151" t="s">
        <v>469</v>
      </c>
      <c r="D12" s="151"/>
      <c r="E12" s="269"/>
      <c r="F12" s="270"/>
      <c r="G12" s="270"/>
      <c r="H12" s="155"/>
      <c r="I12" s="271">
        <f>I13+I14</f>
        <v>18792</v>
      </c>
    </row>
    <row r="13" spans="1:9" s="259" customFormat="1" ht="19.5" customHeight="1">
      <c r="A13" s="267" t="s">
        <v>73</v>
      </c>
      <c r="B13" s="268" t="s">
        <v>472</v>
      </c>
      <c r="C13" s="267" t="s">
        <v>199</v>
      </c>
      <c r="D13" s="267">
        <v>2.2</v>
      </c>
      <c r="E13" s="269">
        <v>0.54</v>
      </c>
      <c r="F13" s="270">
        <f>F10</f>
        <v>8</v>
      </c>
      <c r="G13" s="270">
        <f>G10</f>
        <v>12700000</v>
      </c>
      <c r="H13" s="271">
        <f>G13/F13/500</f>
        <v>3175</v>
      </c>
      <c r="I13" s="271">
        <f t="shared" si="0"/>
        <v>1714.5</v>
      </c>
    </row>
    <row r="14" spans="1:9" s="259" customFormat="1" ht="19.5" customHeight="1">
      <c r="A14" s="267" t="s">
        <v>298</v>
      </c>
      <c r="B14" s="268" t="s">
        <v>229</v>
      </c>
      <c r="C14" s="267" t="s">
        <v>230</v>
      </c>
      <c r="D14" s="267"/>
      <c r="E14" s="269">
        <v>9.9</v>
      </c>
      <c r="F14" s="270"/>
      <c r="G14" s="270">
        <f>G11</f>
        <v>1725</v>
      </c>
      <c r="H14" s="271">
        <f>G14</f>
        <v>1725</v>
      </c>
      <c r="I14" s="271">
        <f t="shared" si="0"/>
        <v>17077.5</v>
      </c>
    </row>
    <row r="15" spans="1:9" ht="19.5" customHeight="1">
      <c r="A15" s="151" t="s">
        <v>21</v>
      </c>
      <c r="B15" s="275" t="s">
        <v>125</v>
      </c>
      <c r="C15" s="151" t="s">
        <v>460</v>
      </c>
      <c r="D15" s="151"/>
      <c r="E15" s="269"/>
      <c r="F15" s="178"/>
      <c r="G15" s="270"/>
      <c r="H15" s="155"/>
      <c r="I15" s="271">
        <f>I16+I17</f>
        <v>1866.5</v>
      </c>
    </row>
    <row r="16" spans="1:9" s="259" customFormat="1" ht="18.75" customHeight="1">
      <c r="A16" s="267" t="s">
        <v>27</v>
      </c>
      <c r="B16" s="268" t="s">
        <v>472</v>
      </c>
      <c r="C16" s="267" t="s">
        <v>199</v>
      </c>
      <c r="D16" s="267">
        <v>2.2</v>
      </c>
      <c r="E16" s="269">
        <v>0.05</v>
      </c>
      <c r="F16" s="270">
        <f>F10</f>
        <v>8</v>
      </c>
      <c r="G16" s="270">
        <f>G13</f>
        <v>12700000</v>
      </c>
      <c r="H16" s="271">
        <f>G16/F16/500</f>
        <v>3175</v>
      </c>
      <c r="I16" s="271">
        <f t="shared" si="0"/>
        <v>158.75</v>
      </c>
    </row>
    <row r="17" spans="1:9" s="259" customFormat="1" ht="19.5" customHeight="1">
      <c r="A17" s="267" t="s">
        <v>28</v>
      </c>
      <c r="B17" s="268" t="s">
        <v>229</v>
      </c>
      <c r="C17" s="267" t="s">
        <v>230</v>
      </c>
      <c r="D17" s="267"/>
      <c r="E17" s="269">
        <v>0.99</v>
      </c>
      <c r="F17" s="270">
        <f>F12</f>
        <v>0</v>
      </c>
      <c r="G17" s="270">
        <f>G11</f>
        <v>1725</v>
      </c>
      <c r="H17" s="271">
        <f>G17</f>
        <v>1725</v>
      </c>
      <c r="I17" s="271">
        <f t="shared" si="0"/>
        <v>1707.75</v>
      </c>
    </row>
    <row r="18" spans="1:9" ht="19.5" customHeight="1">
      <c r="A18" s="151" t="s">
        <v>23</v>
      </c>
      <c r="B18" s="152" t="s">
        <v>128</v>
      </c>
      <c r="C18" s="267"/>
      <c r="D18" s="267"/>
      <c r="E18" s="269"/>
      <c r="F18" s="270"/>
      <c r="G18" s="270"/>
      <c r="H18" s="155"/>
      <c r="I18" s="271">
        <f>I19+I25</f>
        <v>13246.75</v>
      </c>
    </row>
    <row r="19" spans="1:9" ht="19.5" customHeight="1">
      <c r="A19" s="151" t="s">
        <v>304</v>
      </c>
      <c r="B19" s="275" t="s">
        <v>130</v>
      </c>
      <c r="C19" s="151" t="s">
        <v>473</v>
      </c>
      <c r="D19" s="151"/>
      <c r="E19" s="177"/>
      <c r="F19" s="270"/>
      <c r="G19" s="270"/>
      <c r="H19" s="155"/>
      <c r="I19" s="271">
        <f>I20+I21+I22+I23+I24</f>
        <v>5229.5</v>
      </c>
    </row>
    <row r="20" spans="1:9" s="259" customFormat="1" ht="19.5" customHeight="1">
      <c r="A20" s="267" t="s">
        <v>474</v>
      </c>
      <c r="B20" s="268" t="s">
        <v>475</v>
      </c>
      <c r="C20" s="267" t="s">
        <v>199</v>
      </c>
      <c r="D20" s="267">
        <v>1.5</v>
      </c>
      <c r="E20" s="269">
        <v>0.12</v>
      </c>
      <c r="F20" s="270">
        <f>Thietbi_A_TN_KT_BG_BC!F7</f>
        <v>5</v>
      </c>
      <c r="G20" s="271">
        <f>Thietbi_A_TN_KT_BG_BC!G7</f>
        <v>9500000</v>
      </c>
      <c r="H20" s="271">
        <f>G20/F20/500</f>
        <v>3800</v>
      </c>
      <c r="I20" s="271">
        <f t="shared" si="0"/>
        <v>456</v>
      </c>
    </row>
    <row r="21" spans="1:9" s="259" customFormat="1" ht="19.5" customHeight="1">
      <c r="A21" s="267" t="s">
        <v>476</v>
      </c>
      <c r="B21" s="268" t="s">
        <v>477</v>
      </c>
      <c r="C21" s="267" t="s">
        <v>199</v>
      </c>
      <c r="D21" s="267">
        <v>0.4</v>
      </c>
      <c r="E21" s="269">
        <v>0.03</v>
      </c>
      <c r="F21" s="270">
        <f>Thietbi_A_TN_KT_BG_BC!F8</f>
        <v>5</v>
      </c>
      <c r="G21" s="271">
        <f>Thietbi_A_TN_KT_BG_BC!G8</f>
        <v>15000000</v>
      </c>
      <c r="H21" s="271">
        <f>G21/F21/500</f>
        <v>6000</v>
      </c>
      <c r="I21" s="271">
        <f t="shared" si="0"/>
        <v>180</v>
      </c>
    </row>
    <row r="22" spans="1:9" s="259" customFormat="1" ht="19.5" customHeight="1">
      <c r="A22" s="267" t="s">
        <v>478</v>
      </c>
      <c r="B22" s="268" t="s">
        <v>479</v>
      </c>
      <c r="C22" s="267" t="s">
        <v>199</v>
      </c>
      <c r="D22" s="267">
        <v>0.04</v>
      </c>
      <c r="E22" s="269">
        <v>0.03</v>
      </c>
      <c r="F22" s="276">
        <v>5</v>
      </c>
      <c r="G22" s="276">
        <v>3000000</v>
      </c>
      <c r="H22" s="271">
        <f>G22/F22/500</f>
        <v>1200</v>
      </c>
      <c r="I22" s="271">
        <f t="shared" si="0"/>
        <v>36</v>
      </c>
    </row>
    <row r="23" spans="1:9" s="259" customFormat="1" ht="19.5" customHeight="1">
      <c r="A23" s="267" t="s">
        <v>480</v>
      </c>
      <c r="B23" s="268" t="s">
        <v>472</v>
      </c>
      <c r="C23" s="267" t="s">
        <v>199</v>
      </c>
      <c r="D23" s="267">
        <v>2.2</v>
      </c>
      <c r="E23" s="269">
        <v>0.05</v>
      </c>
      <c r="F23" s="270">
        <f>F16</f>
        <v>8</v>
      </c>
      <c r="G23" s="271">
        <f>Thietbi_A_TN_KT_BG_BC!G6</f>
        <v>12700000</v>
      </c>
      <c r="H23" s="271">
        <f>G23/F23/500</f>
        <v>3175</v>
      </c>
      <c r="I23" s="271">
        <f t="shared" si="0"/>
        <v>158.75</v>
      </c>
    </row>
    <row r="24" spans="1:9" s="259" customFormat="1" ht="19.5" customHeight="1">
      <c r="A24" s="267" t="s">
        <v>481</v>
      </c>
      <c r="B24" s="268" t="s">
        <v>229</v>
      </c>
      <c r="C24" s="267" t="s">
        <v>230</v>
      </c>
      <c r="D24" s="267"/>
      <c r="E24" s="269">
        <v>2.55</v>
      </c>
      <c r="F24" s="270"/>
      <c r="G24" s="270">
        <f>G17</f>
        <v>1725</v>
      </c>
      <c r="H24" s="271">
        <f>G24</f>
        <v>1725</v>
      </c>
      <c r="I24" s="271">
        <f t="shared" si="0"/>
        <v>4398.75</v>
      </c>
    </row>
    <row r="25" spans="1:9" ht="19.5" customHeight="1">
      <c r="A25" s="151" t="s">
        <v>305</v>
      </c>
      <c r="B25" s="275" t="s">
        <v>132</v>
      </c>
      <c r="C25" s="151" t="s">
        <v>232</v>
      </c>
      <c r="D25" s="151"/>
      <c r="E25" s="177"/>
      <c r="F25" s="270"/>
      <c r="G25" s="270"/>
      <c r="H25" s="155"/>
      <c r="I25" s="271">
        <f>I26+I27+I28+I29+I30</f>
        <v>8017.25</v>
      </c>
    </row>
    <row r="26" spans="1:9" s="259" customFormat="1" ht="19.5" customHeight="1">
      <c r="A26" s="267" t="s">
        <v>482</v>
      </c>
      <c r="B26" s="268" t="s">
        <v>483</v>
      </c>
      <c r="C26" s="267" t="s">
        <v>199</v>
      </c>
      <c r="D26" s="267">
        <v>0.4</v>
      </c>
      <c r="E26" s="269">
        <v>0.12</v>
      </c>
      <c r="F26" s="270">
        <f>F20</f>
        <v>5</v>
      </c>
      <c r="G26" s="270">
        <v>15000000</v>
      </c>
      <c r="H26" s="271">
        <f>G26/F26/500</f>
        <v>6000</v>
      </c>
      <c r="I26" s="271">
        <f t="shared" si="0"/>
        <v>720</v>
      </c>
    </row>
    <row r="27" spans="1:9" s="259" customFormat="1" ht="19.5" customHeight="1">
      <c r="A27" s="267" t="s">
        <v>484</v>
      </c>
      <c r="B27" s="268" t="s">
        <v>475</v>
      </c>
      <c r="C27" s="267" t="s">
        <v>199</v>
      </c>
      <c r="D27" s="267">
        <v>2.5</v>
      </c>
      <c r="E27" s="269">
        <v>0.12</v>
      </c>
      <c r="F27" s="270">
        <f>F21</f>
        <v>5</v>
      </c>
      <c r="G27" s="271">
        <f>G20</f>
        <v>9500000</v>
      </c>
      <c r="H27" s="271">
        <f>G27/F27/500</f>
        <v>3800</v>
      </c>
      <c r="I27" s="271">
        <f t="shared" si="0"/>
        <v>456</v>
      </c>
    </row>
    <row r="28" spans="1:9" s="259" customFormat="1" ht="19.5" customHeight="1">
      <c r="A28" s="267" t="s">
        <v>485</v>
      </c>
      <c r="B28" s="268" t="s">
        <v>479</v>
      </c>
      <c r="C28" s="267" t="s">
        <v>486</v>
      </c>
      <c r="D28" s="267">
        <v>0.04</v>
      </c>
      <c r="E28" s="269">
        <v>0.02</v>
      </c>
      <c r="F28" s="276">
        <f>F22</f>
        <v>5</v>
      </c>
      <c r="G28" s="276">
        <f>G22</f>
        <v>3000000</v>
      </c>
      <c r="H28" s="271">
        <f>G28/F28/500</f>
        <v>1200</v>
      </c>
      <c r="I28" s="271">
        <f t="shared" si="0"/>
        <v>24</v>
      </c>
    </row>
    <row r="29" spans="1:9" s="259" customFormat="1" ht="19.5" customHeight="1">
      <c r="A29" s="267" t="s">
        <v>487</v>
      </c>
      <c r="B29" s="268" t="s">
        <v>472</v>
      </c>
      <c r="C29" s="267" t="s">
        <v>199</v>
      </c>
      <c r="D29" s="267">
        <v>2.2</v>
      </c>
      <c r="E29" s="269">
        <v>0.05</v>
      </c>
      <c r="F29" s="270">
        <f>F23</f>
        <v>8</v>
      </c>
      <c r="G29" s="271">
        <f>G23</f>
        <v>12700000</v>
      </c>
      <c r="H29" s="271">
        <f>G29/F29/500</f>
        <v>3175</v>
      </c>
      <c r="I29" s="271">
        <f t="shared" si="0"/>
        <v>158.75</v>
      </c>
    </row>
    <row r="30" spans="1:9" s="259" customFormat="1" ht="19.5" customHeight="1">
      <c r="A30" s="267" t="s">
        <v>488</v>
      </c>
      <c r="B30" s="268" t="s">
        <v>229</v>
      </c>
      <c r="C30" s="267" t="s">
        <v>230</v>
      </c>
      <c r="D30" s="267"/>
      <c r="E30" s="269">
        <v>3.86</v>
      </c>
      <c r="F30" s="270"/>
      <c r="G30" s="270">
        <f>G24</f>
        <v>1725</v>
      </c>
      <c r="H30" s="271">
        <f>G30</f>
        <v>1725</v>
      </c>
      <c r="I30" s="271">
        <f t="shared" si="0"/>
        <v>6658.5</v>
      </c>
    </row>
    <row r="31" spans="1:9" ht="19.5" customHeight="1">
      <c r="A31" s="151">
        <v>2</v>
      </c>
      <c r="B31" s="275" t="s">
        <v>134</v>
      </c>
      <c r="C31" s="151"/>
      <c r="D31" s="151"/>
      <c r="E31" s="177"/>
      <c r="F31" s="270"/>
      <c r="G31" s="270"/>
      <c r="H31" s="271"/>
      <c r="I31" s="271">
        <f>I32+I35+I38+I42+I46</f>
        <v>64921.5</v>
      </c>
    </row>
    <row r="32" spans="1:9" ht="19.5" customHeight="1">
      <c r="A32" s="151" t="s">
        <v>13</v>
      </c>
      <c r="B32" s="275" t="s">
        <v>69</v>
      </c>
      <c r="C32" s="151" t="s">
        <v>462</v>
      </c>
      <c r="D32" s="151"/>
      <c r="E32" s="269"/>
      <c r="F32" s="270"/>
      <c r="G32" s="270"/>
      <c r="H32" s="155"/>
      <c r="I32" s="271">
        <f>I33+I34</f>
        <v>7034.75</v>
      </c>
    </row>
    <row r="33" spans="1:9" s="259" customFormat="1" ht="19.5" customHeight="1">
      <c r="A33" s="267" t="s">
        <v>40</v>
      </c>
      <c r="B33" s="268" t="s">
        <v>472</v>
      </c>
      <c r="C33" s="267" t="s">
        <v>199</v>
      </c>
      <c r="D33" s="267">
        <v>2.2</v>
      </c>
      <c r="E33" s="269">
        <v>0.2</v>
      </c>
      <c r="F33" s="270">
        <f>F29</f>
        <v>8</v>
      </c>
      <c r="G33" s="271">
        <f>G29</f>
        <v>12700000</v>
      </c>
      <c r="H33" s="271">
        <f>G33/F33/500</f>
        <v>3175</v>
      </c>
      <c r="I33" s="271">
        <f t="shared" si="0"/>
        <v>635</v>
      </c>
    </row>
    <row r="34" spans="1:9" s="259" customFormat="1" ht="19.5" customHeight="1">
      <c r="A34" s="267" t="s">
        <v>41</v>
      </c>
      <c r="B34" s="268" t="s">
        <v>229</v>
      </c>
      <c r="C34" s="267" t="s">
        <v>230</v>
      </c>
      <c r="D34" s="267"/>
      <c r="E34" s="269">
        <v>3.71</v>
      </c>
      <c r="F34" s="270"/>
      <c r="G34" s="270">
        <f>G30</f>
        <v>1725</v>
      </c>
      <c r="H34" s="271">
        <f>G34</f>
        <v>1725</v>
      </c>
      <c r="I34" s="271">
        <f t="shared" si="0"/>
        <v>6399.75</v>
      </c>
    </row>
    <row r="35" spans="1:9" ht="19.5" customHeight="1">
      <c r="A35" s="151" t="s">
        <v>14</v>
      </c>
      <c r="B35" s="275" t="s">
        <v>123</v>
      </c>
      <c r="C35" s="151"/>
      <c r="D35" s="151"/>
      <c r="E35" s="177"/>
      <c r="F35" s="270"/>
      <c r="G35" s="270"/>
      <c r="H35" s="155"/>
      <c r="I35" s="271">
        <f>I36+I37</f>
        <v>14017.75</v>
      </c>
    </row>
    <row r="36" spans="1:9" s="259" customFormat="1" ht="19.5" customHeight="1">
      <c r="A36" s="267" t="s">
        <v>135</v>
      </c>
      <c r="B36" s="268" t="s">
        <v>472</v>
      </c>
      <c r="C36" s="267" t="s">
        <v>199</v>
      </c>
      <c r="D36" s="267">
        <v>2.2</v>
      </c>
      <c r="E36" s="269">
        <v>0.4</v>
      </c>
      <c r="F36" s="270">
        <f>F29</f>
        <v>8</v>
      </c>
      <c r="G36" s="271">
        <f>G29</f>
        <v>12700000</v>
      </c>
      <c r="H36" s="271">
        <f>G36/F36/500</f>
        <v>3175</v>
      </c>
      <c r="I36" s="271">
        <f t="shared" si="0"/>
        <v>1270</v>
      </c>
    </row>
    <row r="37" spans="1:9" s="259" customFormat="1" ht="19.5" customHeight="1">
      <c r="A37" s="267" t="s">
        <v>137</v>
      </c>
      <c r="B37" s="268" t="s">
        <v>229</v>
      </c>
      <c r="C37" s="267" t="s">
        <v>230</v>
      </c>
      <c r="D37" s="267"/>
      <c r="E37" s="269">
        <v>7.39</v>
      </c>
      <c r="F37" s="270"/>
      <c r="G37" s="270">
        <f>G34</f>
        <v>1725</v>
      </c>
      <c r="H37" s="271">
        <f>G37</f>
        <v>1725</v>
      </c>
      <c r="I37" s="271">
        <f t="shared" si="0"/>
        <v>12747.75</v>
      </c>
    </row>
    <row r="38" spans="1:9" ht="19.5" customHeight="1">
      <c r="A38" s="151" t="s">
        <v>15</v>
      </c>
      <c r="B38" s="275" t="s">
        <v>139</v>
      </c>
      <c r="C38" s="151" t="s">
        <v>463</v>
      </c>
      <c r="D38" s="151"/>
      <c r="E38" s="269"/>
      <c r="F38" s="270"/>
      <c r="G38" s="270"/>
      <c r="H38" s="155"/>
      <c r="I38" s="271">
        <f>I39+I40+I41</f>
        <v>8615</v>
      </c>
    </row>
    <row r="39" spans="1:9" s="259" customFormat="1" ht="19.5" customHeight="1">
      <c r="A39" s="267" t="s">
        <v>42</v>
      </c>
      <c r="B39" s="268" t="s">
        <v>472</v>
      </c>
      <c r="C39" s="267" t="s">
        <v>199</v>
      </c>
      <c r="D39" s="267">
        <v>2.2</v>
      </c>
      <c r="E39" s="269">
        <v>0.2</v>
      </c>
      <c r="F39" s="270">
        <f>F29</f>
        <v>8</v>
      </c>
      <c r="G39" s="271">
        <f>G36</f>
        <v>12700000</v>
      </c>
      <c r="H39" s="271">
        <f>G39/F39/500</f>
        <v>3175</v>
      </c>
      <c r="I39" s="271">
        <f t="shared" si="0"/>
        <v>635</v>
      </c>
    </row>
    <row r="40" spans="1:9" s="259" customFormat="1" ht="19.5" customHeight="1">
      <c r="A40" s="267" t="s">
        <v>43</v>
      </c>
      <c r="B40" s="268" t="s">
        <v>479</v>
      </c>
      <c r="C40" s="267" t="s">
        <v>199</v>
      </c>
      <c r="D40" s="267">
        <v>0.04</v>
      </c>
      <c r="E40" s="269">
        <v>0.9</v>
      </c>
      <c r="F40" s="270">
        <f>F28</f>
        <v>5</v>
      </c>
      <c r="G40" s="270">
        <f>G28</f>
        <v>3000000</v>
      </c>
      <c r="H40" s="271">
        <f>G40/F40/500</f>
        <v>1200</v>
      </c>
      <c r="I40" s="271">
        <f t="shared" si="0"/>
        <v>1080</v>
      </c>
    </row>
    <row r="41" spans="1:9" s="259" customFormat="1" ht="19.5" customHeight="1">
      <c r="A41" s="267" t="s">
        <v>44</v>
      </c>
      <c r="B41" s="268" t="s">
        <v>229</v>
      </c>
      <c r="C41" s="267" t="s">
        <v>230</v>
      </c>
      <c r="D41" s="267"/>
      <c r="E41" s="269">
        <v>4</v>
      </c>
      <c r="F41" s="270"/>
      <c r="G41" s="270">
        <f>G37</f>
        <v>1725</v>
      </c>
      <c r="H41" s="271">
        <f>G41</f>
        <v>1725</v>
      </c>
      <c r="I41" s="271">
        <f t="shared" si="0"/>
        <v>6900</v>
      </c>
    </row>
    <row r="42" spans="1:9" ht="19.5" customHeight="1">
      <c r="A42" s="151" t="s">
        <v>25</v>
      </c>
      <c r="B42" s="57" t="s">
        <v>142</v>
      </c>
      <c r="C42" s="151" t="s">
        <v>464</v>
      </c>
      <c r="D42" s="151"/>
      <c r="E42" s="269"/>
      <c r="F42" s="270"/>
      <c r="G42" s="270"/>
      <c r="H42" s="155"/>
      <c r="I42" s="271">
        <f>I43+I44+I45</f>
        <v>17627</v>
      </c>
    </row>
    <row r="43" spans="1:9" s="259" customFormat="1" ht="19.5" customHeight="1">
      <c r="A43" s="267" t="s">
        <v>335</v>
      </c>
      <c r="B43" s="268" t="s">
        <v>477</v>
      </c>
      <c r="C43" s="267" t="s">
        <v>199</v>
      </c>
      <c r="D43" s="267">
        <v>0.4</v>
      </c>
      <c r="E43" s="269">
        <v>0.9</v>
      </c>
      <c r="F43" s="270">
        <f>F26</f>
        <v>5</v>
      </c>
      <c r="G43" s="270">
        <f>G26</f>
        <v>15000000</v>
      </c>
      <c r="H43" s="271">
        <f>G43/F43/500</f>
        <v>6000</v>
      </c>
      <c r="I43" s="271">
        <f t="shared" si="0"/>
        <v>5400</v>
      </c>
    </row>
    <row r="44" spans="1:9" s="259" customFormat="1" ht="19.5" customHeight="1">
      <c r="A44" s="267" t="s">
        <v>336</v>
      </c>
      <c r="B44" s="268" t="s">
        <v>257</v>
      </c>
      <c r="C44" s="267" t="s">
        <v>199</v>
      </c>
      <c r="D44" s="267">
        <v>2.2</v>
      </c>
      <c r="E44" s="269">
        <v>0.2</v>
      </c>
      <c r="F44" s="270">
        <f>F36</f>
        <v>8</v>
      </c>
      <c r="G44" s="271">
        <f>G39</f>
        <v>12700000</v>
      </c>
      <c r="H44" s="271">
        <f>G44/F44/500</f>
        <v>3175</v>
      </c>
      <c r="I44" s="271">
        <f t="shared" si="0"/>
        <v>635</v>
      </c>
    </row>
    <row r="45" spans="1:9" s="259" customFormat="1" ht="19.5" customHeight="1">
      <c r="A45" s="267" t="s">
        <v>337</v>
      </c>
      <c r="B45" s="268" t="s">
        <v>229</v>
      </c>
      <c r="C45" s="267" t="s">
        <v>230</v>
      </c>
      <c r="D45" s="267"/>
      <c r="E45" s="269">
        <v>6.72</v>
      </c>
      <c r="F45" s="270"/>
      <c r="G45" s="270">
        <f>G41</f>
        <v>1725</v>
      </c>
      <c r="H45" s="271">
        <f>G45</f>
        <v>1725</v>
      </c>
      <c r="I45" s="271">
        <f t="shared" si="0"/>
        <v>11592</v>
      </c>
    </row>
    <row r="46" spans="1:9" ht="19.5" customHeight="1">
      <c r="A46" s="151" t="s">
        <v>47</v>
      </c>
      <c r="B46" s="57" t="s">
        <v>465</v>
      </c>
      <c r="C46" s="151" t="s">
        <v>464</v>
      </c>
      <c r="D46" s="151"/>
      <c r="E46" s="269"/>
      <c r="F46" s="270"/>
      <c r="G46" s="270"/>
      <c r="H46" s="155"/>
      <c r="I46" s="271">
        <f>I47+I48+I49</f>
        <v>17627</v>
      </c>
    </row>
    <row r="47" spans="1:9" s="259" customFormat="1" ht="19.5" customHeight="1">
      <c r="A47" s="267" t="s">
        <v>48</v>
      </c>
      <c r="B47" s="268" t="s">
        <v>477</v>
      </c>
      <c r="C47" s="267" t="s">
        <v>199</v>
      </c>
      <c r="D47" s="267">
        <v>0.4</v>
      </c>
      <c r="E47" s="269">
        <v>0.9</v>
      </c>
      <c r="F47" s="270">
        <f>F43</f>
        <v>5</v>
      </c>
      <c r="G47" s="270">
        <f>G43</f>
        <v>15000000</v>
      </c>
      <c r="H47" s="271">
        <f>G47/F47/500</f>
        <v>6000</v>
      </c>
      <c r="I47" s="271">
        <f t="shared" si="0"/>
        <v>5400</v>
      </c>
    </row>
    <row r="48" spans="1:9" s="259" customFormat="1" ht="19.5" customHeight="1">
      <c r="A48" s="267" t="s">
        <v>49</v>
      </c>
      <c r="B48" s="268" t="s">
        <v>257</v>
      </c>
      <c r="C48" s="267" t="s">
        <v>199</v>
      </c>
      <c r="D48" s="267">
        <v>2.2</v>
      </c>
      <c r="E48" s="269">
        <v>0.2</v>
      </c>
      <c r="F48" s="270">
        <f>F44</f>
        <v>8</v>
      </c>
      <c r="G48" s="271">
        <f>G44</f>
        <v>12700000</v>
      </c>
      <c r="H48" s="271">
        <f>G48/F48/500</f>
        <v>3175</v>
      </c>
      <c r="I48" s="271">
        <f t="shared" si="0"/>
        <v>635</v>
      </c>
    </row>
    <row r="49" spans="1:9" s="259" customFormat="1" ht="19.5" customHeight="1">
      <c r="A49" s="267" t="s">
        <v>51</v>
      </c>
      <c r="B49" s="268" t="s">
        <v>229</v>
      </c>
      <c r="C49" s="267" t="s">
        <v>230</v>
      </c>
      <c r="D49" s="267"/>
      <c r="E49" s="269">
        <v>6.72</v>
      </c>
      <c r="F49" s="270"/>
      <c r="G49" s="270">
        <f>G45</f>
        <v>1725</v>
      </c>
      <c r="H49" s="271">
        <f>G49</f>
        <v>1725</v>
      </c>
      <c r="I49" s="271">
        <f t="shared" si="0"/>
        <v>11592</v>
      </c>
    </row>
    <row r="50" spans="1:9" ht="19.5" customHeight="1">
      <c r="A50" s="151">
        <v>3</v>
      </c>
      <c r="B50" s="275" t="s">
        <v>146</v>
      </c>
      <c r="C50" s="151"/>
      <c r="D50" s="151"/>
      <c r="E50" s="177"/>
      <c r="F50" s="270"/>
      <c r="G50" s="270"/>
      <c r="H50" s="155"/>
      <c r="I50" s="271">
        <f>I51+I55+I59</f>
        <v>141817.5</v>
      </c>
    </row>
    <row r="51" spans="1:9" ht="19.5" customHeight="1">
      <c r="A51" s="151" t="s">
        <v>19</v>
      </c>
      <c r="B51" s="275" t="s">
        <v>147</v>
      </c>
      <c r="C51" s="151" t="s">
        <v>466</v>
      </c>
      <c r="D51" s="151"/>
      <c r="E51" s="269"/>
      <c r="F51" s="270"/>
      <c r="G51" s="270"/>
      <c r="H51" s="155"/>
      <c r="I51" s="271">
        <f>I52+I53+I54</f>
        <v>24076</v>
      </c>
    </row>
    <row r="52" spans="1:9" s="259" customFormat="1" ht="19.5" customHeight="1">
      <c r="A52" s="267" t="s">
        <v>58</v>
      </c>
      <c r="B52" s="268" t="s">
        <v>477</v>
      </c>
      <c r="C52" s="267" t="s">
        <v>199</v>
      </c>
      <c r="D52" s="267">
        <v>0.4</v>
      </c>
      <c r="E52" s="269">
        <v>0.05</v>
      </c>
      <c r="F52" s="270">
        <f>F47</f>
        <v>5</v>
      </c>
      <c r="G52" s="270">
        <f>G47</f>
        <v>15000000</v>
      </c>
      <c r="H52" s="271">
        <f>G52/F52/500</f>
        <v>6000</v>
      </c>
      <c r="I52" s="271">
        <f t="shared" si="0"/>
        <v>300</v>
      </c>
    </row>
    <row r="53" spans="1:9" s="259" customFormat="1" ht="19.5" customHeight="1">
      <c r="A53" s="267" t="s">
        <v>59</v>
      </c>
      <c r="B53" s="268" t="s">
        <v>257</v>
      </c>
      <c r="C53" s="267" t="s">
        <v>199</v>
      </c>
      <c r="D53" s="267">
        <v>2.2</v>
      </c>
      <c r="E53" s="269">
        <v>0.67</v>
      </c>
      <c r="F53" s="270">
        <f>F48</f>
        <v>8</v>
      </c>
      <c r="G53" s="271">
        <f>G48</f>
        <v>12700000</v>
      </c>
      <c r="H53" s="271">
        <f>G53/F53/500</f>
        <v>3175</v>
      </c>
      <c r="I53" s="271">
        <f t="shared" si="0"/>
        <v>2127.25</v>
      </c>
    </row>
    <row r="54" spans="1:9" s="259" customFormat="1" ht="19.5" customHeight="1">
      <c r="A54" s="267" t="s">
        <v>60</v>
      </c>
      <c r="B54" s="268" t="s">
        <v>229</v>
      </c>
      <c r="C54" s="267" t="s">
        <v>230</v>
      </c>
      <c r="D54" s="267"/>
      <c r="E54" s="269">
        <v>12.55</v>
      </c>
      <c r="F54" s="270"/>
      <c r="G54" s="270">
        <f>G49</f>
        <v>1725</v>
      </c>
      <c r="H54" s="271">
        <f>G54</f>
        <v>1725</v>
      </c>
      <c r="I54" s="271">
        <f t="shared" si="0"/>
        <v>21648.75</v>
      </c>
    </row>
    <row r="55" spans="1:9" ht="19.5" customHeight="1">
      <c r="A55" s="151" t="s">
        <v>20</v>
      </c>
      <c r="B55" s="57" t="s">
        <v>149</v>
      </c>
      <c r="C55" s="151" t="s">
        <v>466</v>
      </c>
      <c r="D55" s="151"/>
      <c r="E55" s="269"/>
      <c r="F55" s="270"/>
      <c r="G55" s="270"/>
      <c r="H55" s="155"/>
      <c r="I55" s="271">
        <f>I56+I57+I58</f>
        <v>58870.75</v>
      </c>
    </row>
    <row r="56" spans="1:9" s="259" customFormat="1" ht="19.5" customHeight="1">
      <c r="A56" s="267" t="s">
        <v>63</v>
      </c>
      <c r="B56" s="268" t="s">
        <v>477</v>
      </c>
      <c r="C56" s="267" t="s">
        <v>199</v>
      </c>
      <c r="D56" s="267">
        <v>0.4</v>
      </c>
      <c r="E56" s="269">
        <v>3</v>
      </c>
      <c r="F56" s="270">
        <f>F52</f>
        <v>5</v>
      </c>
      <c r="G56" s="270">
        <f>G52</f>
        <v>15000000</v>
      </c>
      <c r="H56" s="271">
        <f>G56/F56/500</f>
        <v>6000</v>
      </c>
      <c r="I56" s="271">
        <f t="shared" si="0"/>
        <v>18000</v>
      </c>
    </row>
    <row r="57" spans="1:9" s="259" customFormat="1" ht="19.5" customHeight="1">
      <c r="A57" s="267" t="s">
        <v>64</v>
      </c>
      <c r="B57" s="268" t="s">
        <v>257</v>
      </c>
      <c r="C57" s="267" t="s">
        <v>199</v>
      </c>
      <c r="D57" s="267">
        <v>2.2</v>
      </c>
      <c r="E57" s="269">
        <v>0.67</v>
      </c>
      <c r="F57" s="270">
        <f>F53</f>
        <v>8</v>
      </c>
      <c r="G57" s="271">
        <f>G53</f>
        <v>12700000</v>
      </c>
      <c r="H57" s="271">
        <f>G57/F57/500</f>
        <v>3175</v>
      </c>
      <c r="I57" s="271">
        <f t="shared" si="0"/>
        <v>2127.25</v>
      </c>
    </row>
    <row r="58" spans="1:9" s="259" customFormat="1" ht="19.5" customHeight="1">
      <c r="A58" s="267" t="s">
        <v>65</v>
      </c>
      <c r="B58" s="268" t="s">
        <v>229</v>
      </c>
      <c r="C58" s="267" t="s">
        <v>230</v>
      </c>
      <c r="D58" s="267"/>
      <c r="E58" s="269">
        <v>22.46</v>
      </c>
      <c r="F58" s="270"/>
      <c r="G58" s="270">
        <f>G54</f>
        <v>1725</v>
      </c>
      <c r="H58" s="271">
        <f>G58</f>
        <v>1725</v>
      </c>
      <c r="I58" s="271">
        <f t="shared" si="0"/>
        <v>38743.5</v>
      </c>
    </row>
    <row r="59" spans="1:9" ht="19.5" customHeight="1">
      <c r="A59" s="151" t="s">
        <v>101</v>
      </c>
      <c r="B59" s="57" t="s">
        <v>150</v>
      </c>
      <c r="C59" s="151" t="s">
        <v>466</v>
      </c>
      <c r="D59" s="151"/>
      <c r="E59" s="269"/>
      <c r="F59" s="270"/>
      <c r="G59" s="270"/>
      <c r="H59" s="155"/>
      <c r="I59" s="271">
        <f>I60+I61+I62</f>
        <v>58870.75</v>
      </c>
    </row>
    <row r="60" spans="1:9" s="259" customFormat="1" ht="19.5" customHeight="1">
      <c r="A60" s="267" t="s">
        <v>353</v>
      </c>
      <c r="B60" s="268" t="s">
        <v>477</v>
      </c>
      <c r="C60" s="267" t="s">
        <v>199</v>
      </c>
      <c r="D60" s="267">
        <v>0.4</v>
      </c>
      <c r="E60" s="269">
        <v>3</v>
      </c>
      <c r="F60" s="270">
        <f>F52</f>
        <v>5</v>
      </c>
      <c r="G60" s="270">
        <f>G56</f>
        <v>15000000</v>
      </c>
      <c r="H60" s="271">
        <f>G60/F60/500</f>
        <v>6000</v>
      </c>
      <c r="I60" s="271">
        <f t="shared" si="0"/>
        <v>18000</v>
      </c>
    </row>
    <row r="61" spans="1:9" s="259" customFormat="1" ht="19.5" customHeight="1">
      <c r="A61" s="267" t="s">
        <v>354</v>
      </c>
      <c r="B61" s="268" t="s">
        <v>257</v>
      </c>
      <c r="C61" s="267" t="s">
        <v>199</v>
      </c>
      <c r="D61" s="267">
        <v>2.2</v>
      </c>
      <c r="E61" s="269">
        <v>0.67</v>
      </c>
      <c r="F61" s="270">
        <f>F57</f>
        <v>8</v>
      </c>
      <c r="G61" s="271">
        <f>G57</f>
        <v>12700000</v>
      </c>
      <c r="H61" s="271">
        <f>G61/F61/500</f>
        <v>3175</v>
      </c>
      <c r="I61" s="271">
        <f t="shared" si="0"/>
        <v>2127.25</v>
      </c>
    </row>
    <row r="62" spans="1:9" s="259" customFormat="1" ht="19.5" customHeight="1">
      <c r="A62" s="267" t="s">
        <v>355</v>
      </c>
      <c r="B62" s="268" t="s">
        <v>229</v>
      </c>
      <c r="C62" s="267" t="s">
        <v>230</v>
      </c>
      <c r="D62" s="267"/>
      <c r="E62" s="269">
        <v>22.46</v>
      </c>
      <c r="F62" s="270"/>
      <c r="G62" s="270">
        <f>G58</f>
        <v>1725</v>
      </c>
      <c r="H62" s="271">
        <f>G62</f>
        <v>1725</v>
      </c>
      <c r="I62" s="271">
        <f t="shared" si="0"/>
        <v>38743.5</v>
      </c>
    </row>
    <row r="63" spans="1:9" s="171" customFormat="1" ht="19.5" customHeight="1">
      <c r="A63" s="145" t="s">
        <v>26</v>
      </c>
      <c r="B63" s="57" t="s">
        <v>151</v>
      </c>
      <c r="C63" s="145" t="s">
        <v>467</v>
      </c>
      <c r="D63" s="145"/>
      <c r="E63" s="273"/>
      <c r="F63" s="276"/>
      <c r="G63" s="276"/>
      <c r="H63" s="49"/>
      <c r="I63" s="271">
        <f>I64+I65+I66+I67+I68</f>
        <v>4708.5</v>
      </c>
    </row>
    <row r="64" spans="1:9" s="259" customFormat="1" ht="19.5" customHeight="1">
      <c r="A64" s="267" t="s">
        <v>19</v>
      </c>
      <c r="B64" s="268" t="s">
        <v>257</v>
      </c>
      <c r="C64" s="267" t="s">
        <v>199</v>
      </c>
      <c r="D64" s="267">
        <v>2.2</v>
      </c>
      <c r="E64" s="269">
        <v>0.03</v>
      </c>
      <c r="F64" s="270">
        <f>F61</f>
        <v>8</v>
      </c>
      <c r="G64" s="271">
        <f>G61</f>
        <v>12700000</v>
      </c>
      <c r="H64" s="271">
        <f>G64/F64/500</f>
        <v>3175</v>
      </c>
      <c r="I64" s="271">
        <f t="shared" si="0"/>
        <v>95.25</v>
      </c>
    </row>
    <row r="65" spans="1:9" s="259" customFormat="1" ht="19.5" customHeight="1">
      <c r="A65" s="267" t="s">
        <v>20</v>
      </c>
      <c r="B65" s="268" t="s">
        <v>477</v>
      </c>
      <c r="C65" s="267" t="s">
        <v>199</v>
      </c>
      <c r="D65" s="267">
        <v>0.4</v>
      </c>
      <c r="E65" s="269">
        <v>0.12</v>
      </c>
      <c r="F65" s="270">
        <f>F60</f>
        <v>5</v>
      </c>
      <c r="G65" s="270">
        <f>G60</f>
        <v>15000000</v>
      </c>
      <c r="H65" s="271">
        <f>G65/F65/500</f>
        <v>6000</v>
      </c>
      <c r="I65" s="271">
        <f t="shared" si="0"/>
        <v>720</v>
      </c>
    </row>
    <row r="66" spans="1:9" s="259" customFormat="1" ht="19.5" customHeight="1">
      <c r="A66" s="267" t="s">
        <v>101</v>
      </c>
      <c r="B66" s="268" t="s">
        <v>490</v>
      </c>
      <c r="C66" s="267" t="s">
        <v>199</v>
      </c>
      <c r="D66" s="267">
        <v>0.4</v>
      </c>
      <c r="E66" s="269">
        <v>0.01</v>
      </c>
      <c r="F66" s="270">
        <f>Thietbi_A_TN_KT_BG_BC!F9</f>
        <v>8</v>
      </c>
      <c r="G66" s="271">
        <f>Thietbi_A_TN_KT_BG_BC!G10</f>
        <v>7200000</v>
      </c>
      <c r="H66" s="271">
        <f>G66/F66/500</f>
        <v>1800</v>
      </c>
      <c r="I66" s="271">
        <f t="shared" si="0"/>
        <v>18</v>
      </c>
    </row>
    <row r="67" spans="1:9" s="259" customFormat="1" ht="19.5" customHeight="1">
      <c r="A67" s="267" t="s">
        <v>74</v>
      </c>
      <c r="B67" s="268" t="s">
        <v>263</v>
      </c>
      <c r="C67" s="267" t="s">
        <v>199</v>
      </c>
      <c r="D67" s="267">
        <v>1.5</v>
      </c>
      <c r="E67" s="269">
        <v>0.03</v>
      </c>
      <c r="F67" s="270">
        <f>Thietbi_A_TN_KT_BG_BC!F10</f>
        <v>5</v>
      </c>
      <c r="G67" s="271">
        <f>Thietbi_A_TN_KT_BG_BC!G9</f>
        <v>126000000</v>
      </c>
      <c r="H67" s="271">
        <f>G67/F67/500</f>
        <v>50400</v>
      </c>
      <c r="I67" s="271">
        <f t="shared" si="0"/>
        <v>1512</v>
      </c>
    </row>
    <row r="68" spans="1:9" s="259" customFormat="1" ht="19.5" customHeight="1">
      <c r="A68" s="277" t="s">
        <v>75</v>
      </c>
      <c r="B68" s="278" t="s">
        <v>229</v>
      </c>
      <c r="C68" s="277" t="s">
        <v>230</v>
      </c>
      <c r="D68" s="277"/>
      <c r="E68" s="279">
        <v>1.37</v>
      </c>
      <c r="F68" s="280"/>
      <c r="G68" s="280">
        <f>G62</f>
        <v>1725</v>
      </c>
      <c r="H68" s="281">
        <f>G68</f>
        <v>1725</v>
      </c>
      <c r="I68" s="271">
        <f t="shared" si="0"/>
        <v>2363.25</v>
      </c>
    </row>
    <row r="69" spans="1:9" ht="19.5" customHeight="1">
      <c r="A69" s="52"/>
      <c r="B69" s="52"/>
      <c r="C69" s="52"/>
      <c r="D69" s="52"/>
      <c r="E69" s="52"/>
      <c r="F69" s="52"/>
      <c r="G69" s="52"/>
      <c r="H69" s="262"/>
      <c r="I69" s="284">
        <f>J4+I7+I63</f>
        <v>301731.5</v>
      </c>
    </row>
    <row r="73" spans="8:9" ht="19.5" customHeight="1">
      <c r="H73" s="135"/>
      <c r="I73" s="136"/>
    </row>
    <row r="74" spans="8:9" ht="19.5" customHeight="1">
      <c r="H74" s="135"/>
      <c r="I74" s="136"/>
    </row>
    <row r="75" spans="8:9" ht="19.5" customHeight="1">
      <c r="H75" s="135"/>
      <c r="I75" s="136"/>
    </row>
    <row r="76" spans="8:9" ht="19.5" customHeight="1">
      <c r="H76" s="135"/>
      <c r="I76" s="136"/>
    </row>
    <row r="77" spans="8:9" ht="19.5" customHeight="1">
      <c r="H77" s="135"/>
      <c r="I77" s="136"/>
    </row>
    <row r="78" spans="8:9" ht="19.5" customHeight="1">
      <c r="H78" s="135"/>
      <c r="I78" s="136"/>
    </row>
    <row r="79" spans="8:9" ht="19.5" customHeight="1">
      <c r="H79" s="135"/>
      <c r="I79" s="136"/>
    </row>
    <row r="80" spans="8:9" ht="19.5" customHeight="1">
      <c r="H80" s="135"/>
      <c r="I80" s="136"/>
    </row>
    <row r="81" spans="8:9" ht="19.5" customHeight="1">
      <c r="H81" s="135"/>
      <c r="I81" s="136"/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29"/>
  <sheetViews>
    <sheetView zoomScalePageLayoutView="0" workbookViewId="0" topLeftCell="A1">
      <selection activeCell="A1" sqref="A1:H1"/>
    </sheetView>
  </sheetViews>
  <sheetFormatPr defaultColWidth="9.140625" defaultRowHeight="19.5" customHeight="1"/>
  <cols>
    <col min="1" max="1" width="8.28125" style="136" customWidth="1"/>
    <col min="2" max="2" width="48.28125" style="136" customWidth="1"/>
    <col min="3" max="3" width="25.28125" style="136" customWidth="1"/>
    <col min="4" max="4" width="8.7109375" style="136" customWidth="1"/>
    <col min="5" max="5" width="14.7109375" style="180" customWidth="1"/>
    <col min="6" max="6" width="7.140625" style="136" customWidth="1"/>
    <col min="7" max="7" width="12.28125" style="181" customWidth="1"/>
    <col min="8" max="8" width="9.28125" style="135" customWidth="1"/>
    <col min="9" max="9" width="9.7109375" style="135" customWidth="1"/>
    <col min="10" max="16384" width="9.140625" style="136" customWidth="1"/>
  </cols>
  <sheetData>
    <row r="1" spans="1:8" ht="19.5" customHeight="1">
      <c r="A1" s="458" t="s">
        <v>243</v>
      </c>
      <c r="B1" s="458"/>
      <c r="C1" s="458"/>
      <c r="D1" s="458"/>
      <c r="E1" s="458"/>
      <c r="F1" s="458"/>
      <c r="G1" s="458"/>
      <c r="H1" s="458"/>
    </row>
    <row r="2" spans="1:8" ht="19.5" customHeight="1">
      <c r="A2" s="458" t="s">
        <v>253</v>
      </c>
      <c r="B2" s="458"/>
      <c r="C2" s="458"/>
      <c r="D2" s="458"/>
      <c r="E2" s="458"/>
      <c r="F2" s="458"/>
      <c r="G2" s="458"/>
      <c r="H2" s="458"/>
    </row>
    <row r="3" spans="1:9" s="138" customFormat="1" ht="36.75" customHeight="1">
      <c r="A3" s="137" t="s">
        <v>238</v>
      </c>
      <c r="B3" s="137" t="s">
        <v>254</v>
      </c>
      <c r="C3" s="137" t="s">
        <v>192</v>
      </c>
      <c r="D3" s="137" t="s">
        <v>255</v>
      </c>
      <c r="E3" s="260" t="s">
        <v>245</v>
      </c>
      <c r="F3" s="137" t="s">
        <v>295</v>
      </c>
      <c r="G3" s="261" t="s">
        <v>296</v>
      </c>
      <c r="H3" s="261" t="s">
        <v>297</v>
      </c>
      <c r="I3" s="261" t="s">
        <v>197</v>
      </c>
    </row>
    <row r="4" spans="1:9" s="144" customFormat="1" ht="19.5" customHeight="1">
      <c r="A4" s="139">
        <v>1</v>
      </c>
      <c r="B4" s="140" t="s">
        <v>82</v>
      </c>
      <c r="C4" s="139"/>
      <c r="D4" s="139"/>
      <c r="E4" s="141"/>
      <c r="F4" s="139"/>
      <c r="G4" s="142"/>
      <c r="H4" s="143"/>
      <c r="I4" s="143">
        <f>I5+I13+I21+I29+I45+I53+I61</f>
        <v>4486.7085</v>
      </c>
    </row>
    <row r="5" spans="1:9" s="150" customFormat="1" ht="19.5" customHeight="1">
      <c r="A5" s="145" t="s">
        <v>11</v>
      </c>
      <c r="B5" s="401" t="s">
        <v>83</v>
      </c>
      <c r="C5" s="145" t="s">
        <v>231</v>
      </c>
      <c r="D5" s="147"/>
      <c r="E5" s="148"/>
      <c r="F5" s="147"/>
      <c r="G5" s="149"/>
      <c r="H5" s="49"/>
      <c r="I5" s="49">
        <f>SUM(I6:I12)/10</f>
        <v>1654.605</v>
      </c>
    </row>
    <row r="6" spans="1:9" s="138" customFormat="1" ht="19.5" customHeight="1">
      <c r="A6" s="151" t="s">
        <v>72</v>
      </c>
      <c r="B6" s="152" t="s">
        <v>257</v>
      </c>
      <c r="C6" s="151" t="s">
        <v>199</v>
      </c>
      <c r="D6" s="151">
        <v>2.2</v>
      </c>
      <c r="E6" s="153">
        <v>0.4</v>
      </c>
      <c r="F6" s="151">
        <v>8</v>
      </c>
      <c r="G6" s="154">
        <v>12700000</v>
      </c>
      <c r="H6" s="155">
        <f aca="true" t="shared" si="0" ref="H6:H11">G6/F6/500</f>
        <v>3175</v>
      </c>
      <c r="I6" s="155">
        <f>E6*H6</f>
        <v>1270</v>
      </c>
    </row>
    <row r="7" spans="1:9" s="138" customFormat="1" ht="19.5" customHeight="1">
      <c r="A7" s="151" t="s">
        <v>258</v>
      </c>
      <c r="B7" s="152" t="s">
        <v>259</v>
      </c>
      <c r="C7" s="151" t="s">
        <v>199</v>
      </c>
      <c r="D7" s="151">
        <v>0.5</v>
      </c>
      <c r="E7" s="153">
        <v>0.01</v>
      </c>
      <c r="F7" s="145">
        <v>5</v>
      </c>
      <c r="G7" s="154">
        <v>9500000</v>
      </c>
      <c r="H7" s="155">
        <f t="shared" si="0"/>
        <v>3800</v>
      </c>
      <c r="I7" s="155">
        <f aca="true" t="shared" si="1" ref="I7:I12">E7*H7</f>
        <v>38</v>
      </c>
    </row>
    <row r="8" spans="1:9" s="138" customFormat="1" ht="19.5" customHeight="1">
      <c r="A8" s="151" t="s">
        <v>260</v>
      </c>
      <c r="B8" s="152" t="s">
        <v>261</v>
      </c>
      <c r="C8" s="151" t="s">
        <v>199</v>
      </c>
      <c r="D8" s="151">
        <v>0.4</v>
      </c>
      <c r="E8" s="153">
        <v>0.05</v>
      </c>
      <c r="F8" s="151">
        <v>5</v>
      </c>
      <c r="G8" s="154">
        <v>15000000</v>
      </c>
      <c r="H8" s="155">
        <f t="shared" si="0"/>
        <v>6000</v>
      </c>
      <c r="I8" s="155">
        <f t="shared" si="1"/>
        <v>300</v>
      </c>
    </row>
    <row r="9" spans="1:9" s="138" customFormat="1" ht="19.5" customHeight="1">
      <c r="A9" s="151" t="s">
        <v>262</v>
      </c>
      <c r="B9" s="152" t="s">
        <v>263</v>
      </c>
      <c r="C9" s="151" t="s">
        <v>199</v>
      </c>
      <c r="D9" s="151">
        <v>1.5</v>
      </c>
      <c r="E9" s="153">
        <v>0.02</v>
      </c>
      <c r="F9" s="151">
        <v>8</v>
      </c>
      <c r="G9" s="154">
        <v>126000000</v>
      </c>
      <c r="H9" s="155">
        <f t="shared" si="0"/>
        <v>31500</v>
      </c>
      <c r="I9" s="155">
        <f t="shared" si="1"/>
        <v>630</v>
      </c>
    </row>
    <row r="10" spans="1:9" s="138" customFormat="1" ht="19.5" customHeight="1">
      <c r="A10" s="151" t="s">
        <v>264</v>
      </c>
      <c r="B10" s="152" t="s">
        <v>265</v>
      </c>
      <c r="C10" s="151" t="s">
        <v>199</v>
      </c>
      <c r="D10" s="151">
        <v>0.4</v>
      </c>
      <c r="E10" s="153">
        <v>0.01</v>
      </c>
      <c r="F10" s="151">
        <v>5</v>
      </c>
      <c r="G10" s="154">
        <v>7200000</v>
      </c>
      <c r="H10" s="155">
        <f t="shared" si="0"/>
        <v>2880</v>
      </c>
      <c r="I10" s="155">
        <f t="shared" si="1"/>
        <v>28.8</v>
      </c>
    </row>
    <row r="11" spans="1:9" s="138" customFormat="1" ht="19.5" customHeight="1">
      <c r="A11" s="151" t="s">
        <v>266</v>
      </c>
      <c r="B11" s="152" t="s">
        <v>267</v>
      </c>
      <c r="C11" s="151" t="s">
        <v>199</v>
      </c>
      <c r="D11" s="151">
        <v>0.5</v>
      </c>
      <c r="E11" s="153">
        <v>0.01</v>
      </c>
      <c r="F11" s="145">
        <v>5</v>
      </c>
      <c r="G11" s="156">
        <v>150000000</v>
      </c>
      <c r="H11" s="155">
        <f t="shared" si="0"/>
        <v>60000</v>
      </c>
      <c r="I11" s="155">
        <f t="shared" si="1"/>
        <v>600</v>
      </c>
    </row>
    <row r="12" spans="1:9" s="138" customFormat="1" ht="19.5" customHeight="1">
      <c r="A12" s="151" t="s">
        <v>268</v>
      </c>
      <c r="B12" s="152" t="s">
        <v>229</v>
      </c>
      <c r="C12" s="151" t="s">
        <v>230</v>
      </c>
      <c r="D12" s="151"/>
      <c r="E12" s="153">
        <v>7.93</v>
      </c>
      <c r="F12" s="151"/>
      <c r="G12" s="157">
        <v>2200</v>
      </c>
      <c r="H12" s="155">
        <v>1725</v>
      </c>
      <c r="I12" s="155">
        <f t="shared" si="1"/>
        <v>13679.25</v>
      </c>
    </row>
    <row r="13" spans="1:9" s="150" customFormat="1" ht="33" customHeight="1">
      <c r="A13" s="145" t="s">
        <v>12</v>
      </c>
      <c r="B13" s="400" t="s">
        <v>85</v>
      </c>
      <c r="C13" s="145" t="s">
        <v>231</v>
      </c>
      <c r="D13" s="147"/>
      <c r="E13" s="153" t="s">
        <v>270</v>
      </c>
      <c r="F13" s="145"/>
      <c r="G13" s="149"/>
      <c r="H13" s="49"/>
      <c r="I13" s="49">
        <f>SUM(I14:I20)/10</f>
        <v>165.4605</v>
      </c>
    </row>
    <row r="14" spans="1:9" s="138" customFormat="1" ht="19.5" customHeight="1">
      <c r="A14" s="151" t="s">
        <v>73</v>
      </c>
      <c r="B14" s="152" t="s">
        <v>257</v>
      </c>
      <c r="C14" s="151" t="s">
        <v>199</v>
      </c>
      <c r="D14" s="151">
        <v>2.2</v>
      </c>
      <c r="E14" s="153">
        <f>E6*0.1</f>
        <v>0.04000000000000001</v>
      </c>
      <c r="F14" s="151">
        <f>F6</f>
        <v>8</v>
      </c>
      <c r="G14" s="154">
        <v>12700000</v>
      </c>
      <c r="H14" s="155">
        <f aca="true" t="shared" si="2" ref="H14:H19">G14/F14/500</f>
        <v>3175</v>
      </c>
      <c r="I14" s="155">
        <f>E14*H14</f>
        <v>127.00000000000003</v>
      </c>
    </row>
    <row r="15" spans="1:9" s="138" customFormat="1" ht="19.5" customHeight="1">
      <c r="A15" s="151" t="s">
        <v>298</v>
      </c>
      <c r="B15" s="152" t="s">
        <v>259</v>
      </c>
      <c r="C15" s="151" t="s">
        <v>199</v>
      </c>
      <c r="D15" s="151">
        <v>0.5</v>
      </c>
      <c r="E15" s="153">
        <f aca="true" t="shared" si="3" ref="E15:E20">E7*0.1</f>
        <v>0.001</v>
      </c>
      <c r="F15" s="145">
        <v>5</v>
      </c>
      <c r="G15" s="154">
        <v>9500000</v>
      </c>
      <c r="H15" s="155">
        <f t="shared" si="2"/>
        <v>3800</v>
      </c>
      <c r="I15" s="155">
        <f aca="true" t="shared" si="4" ref="I15:I20">E15*H15</f>
        <v>3.8000000000000003</v>
      </c>
    </row>
    <row r="16" spans="1:9" s="138" customFormat="1" ht="19.5" customHeight="1">
      <c r="A16" s="151" t="s">
        <v>299</v>
      </c>
      <c r="B16" s="152" t="s">
        <v>261</v>
      </c>
      <c r="C16" s="151" t="s">
        <v>199</v>
      </c>
      <c r="D16" s="151">
        <v>0.4</v>
      </c>
      <c r="E16" s="153">
        <f t="shared" si="3"/>
        <v>0.005000000000000001</v>
      </c>
      <c r="F16" s="151">
        <v>5</v>
      </c>
      <c r="G16" s="154">
        <v>15000000</v>
      </c>
      <c r="H16" s="155">
        <f t="shared" si="2"/>
        <v>6000</v>
      </c>
      <c r="I16" s="155">
        <f t="shared" si="4"/>
        <v>30.000000000000007</v>
      </c>
    </row>
    <row r="17" spans="1:9" s="138" customFormat="1" ht="19.5" customHeight="1">
      <c r="A17" s="151" t="s">
        <v>300</v>
      </c>
      <c r="B17" s="152" t="s">
        <v>263</v>
      </c>
      <c r="C17" s="151" t="s">
        <v>199</v>
      </c>
      <c r="D17" s="151">
        <v>1.5</v>
      </c>
      <c r="E17" s="153">
        <f t="shared" si="3"/>
        <v>0.002</v>
      </c>
      <c r="F17" s="151">
        <f>F9</f>
        <v>8</v>
      </c>
      <c r="G17" s="154">
        <v>126000000</v>
      </c>
      <c r="H17" s="155">
        <f t="shared" si="2"/>
        <v>31500</v>
      </c>
      <c r="I17" s="155">
        <f t="shared" si="4"/>
        <v>63</v>
      </c>
    </row>
    <row r="18" spans="1:9" s="138" customFormat="1" ht="19.5" customHeight="1">
      <c r="A18" s="151" t="s">
        <v>301</v>
      </c>
      <c r="B18" s="152" t="s">
        <v>265</v>
      </c>
      <c r="C18" s="151" t="s">
        <v>199</v>
      </c>
      <c r="D18" s="151">
        <v>0.4</v>
      </c>
      <c r="E18" s="153">
        <f t="shared" si="3"/>
        <v>0.001</v>
      </c>
      <c r="F18" s="151">
        <f>F10</f>
        <v>5</v>
      </c>
      <c r="G18" s="154">
        <v>7200000</v>
      </c>
      <c r="H18" s="155">
        <f t="shared" si="2"/>
        <v>2880</v>
      </c>
      <c r="I18" s="155">
        <f t="shared" si="4"/>
        <v>2.88</v>
      </c>
    </row>
    <row r="19" spans="1:9" s="138" customFormat="1" ht="19.5" customHeight="1">
      <c r="A19" s="151" t="s">
        <v>302</v>
      </c>
      <c r="B19" s="152" t="s">
        <v>267</v>
      </c>
      <c r="C19" s="151" t="s">
        <v>199</v>
      </c>
      <c r="D19" s="151">
        <v>0.5</v>
      </c>
      <c r="E19" s="153">
        <f t="shared" si="3"/>
        <v>0.001</v>
      </c>
      <c r="F19" s="145">
        <f>F11</f>
        <v>5</v>
      </c>
      <c r="G19" s="156">
        <v>150000000</v>
      </c>
      <c r="H19" s="155">
        <f t="shared" si="2"/>
        <v>60000</v>
      </c>
      <c r="I19" s="155">
        <f t="shared" si="4"/>
        <v>60</v>
      </c>
    </row>
    <row r="20" spans="1:9" s="138" customFormat="1" ht="19.5" customHeight="1">
      <c r="A20" s="151" t="s">
        <v>303</v>
      </c>
      <c r="B20" s="152" t="s">
        <v>229</v>
      </c>
      <c r="C20" s="151" t="s">
        <v>230</v>
      </c>
      <c r="D20" s="151"/>
      <c r="E20" s="153">
        <f t="shared" si="3"/>
        <v>0.793</v>
      </c>
      <c r="F20" s="151"/>
      <c r="G20" s="157">
        <v>2200</v>
      </c>
      <c r="H20" s="155">
        <v>1725</v>
      </c>
      <c r="I20" s="155">
        <f t="shared" si="4"/>
        <v>1367.925</v>
      </c>
    </row>
    <row r="21" spans="1:9" s="150" customFormat="1" ht="19.5" customHeight="1">
      <c r="A21" s="145" t="s">
        <v>21</v>
      </c>
      <c r="B21" s="400" t="s">
        <v>86</v>
      </c>
      <c r="C21" s="145" t="s">
        <v>232</v>
      </c>
      <c r="D21" s="145"/>
      <c r="E21" s="153" t="s">
        <v>270</v>
      </c>
      <c r="F21" s="145"/>
      <c r="G21" s="149"/>
      <c r="H21" s="49"/>
      <c r="I21" s="49">
        <f>SUM(I22:I28)/10</f>
        <v>165.4605</v>
      </c>
    </row>
    <row r="22" spans="1:9" s="138" customFormat="1" ht="19.5" customHeight="1">
      <c r="A22" s="151" t="s">
        <v>27</v>
      </c>
      <c r="B22" s="152" t="s">
        <v>257</v>
      </c>
      <c r="C22" s="151" t="s">
        <v>199</v>
      </c>
      <c r="D22" s="151">
        <v>2.2</v>
      </c>
      <c r="E22" s="153">
        <f>E6*0.1</f>
        <v>0.04000000000000001</v>
      </c>
      <c r="F22" s="151">
        <f>F14</f>
        <v>8</v>
      </c>
      <c r="G22" s="154">
        <v>12700000</v>
      </c>
      <c r="H22" s="155">
        <f aca="true" t="shared" si="5" ref="H22:H27">G22/F22/500</f>
        <v>3175</v>
      </c>
      <c r="I22" s="155">
        <f>E22*H22</f>
        <v>127.00000000000003</v>
      </c>
    </row>
    <row r="23" spans="1:9" s="138" customFormat="1" ht="19.5" customHeight="1">
      <c r="A23" s="151" t="s">
        <v>28</v>
      </c>
      <c r="B23" s="152" t="s">
        <v>259</v>
      </c>
      <c r="C23" s="151" t="s">
        <v>199</v>
      </c>
      <c r="D23" s="151">
        <v>0.5</v>
      </c>
      <c r="E23" s="153">
        <f aca="true" t="shared" si="6" ref="E23:E28">E7*0.1</f>
        <v>0.001</v>
      </c>
      <c r="F23" s="145">
        <v>5</v>
      </c>
      <c r="G23" s="154">
        <v>9500000</v>
      </c>
      <c r="H23" s="155">
        <f t="shared" si="5"/>
        <v>3800</v>
      </c>
      <c r="I23" s="155">
        <f aca="true" t="shared" si="7" ref="I23:I28">E23*H23</f>
        <v>3.8000000000000003</v>
      </c>
    </row>
    <row r="24" spans="1:9" s="138" customFormat="1" ht="19.5" customHeight="1">
      <c r="A24" s="151" t="s">
        <v>29</v>
      </c>
      <c r="B24" s="152" t="s">
        <v>261</v>
      </c>
      <c r="C24" s="151" t="s">
        <v>199</v>
      </c>
      <c r="D24" s="151">
        <v>0.4</v>
      </c>
      <c r="E24" s="153">
        <f t="shared" si="6"/>
        <v>0.005000000000000001</v>
      </c>
      <c r="F24" s="151">
        <v>5</v>
      </c>
      <c r="G24" s="154">
        <v>15000000</v>
      </c>
      <c r="H24" s="155">
        <f t="shared" si="5"/>
        <v>6000</v>
      </c>
      <c r="I24" s="155">
        <f t="shared" si="7"/>
        <v>30.000000000000007</v>
      </c>
    </row>
    <row r="25" spans="1:9" s="138" customFormat="1" ht="19.5" customHeight="1">
      <c r="A25" s="151" t="s">
        <v>30</v>
      </c>
      <c r="B25" s="152" t="s">
        <v>263</v>
      </c>
      <c r="C25" s="151" t="s">
        <v>199</v>
      </c>
      <c r="D25" s="151">
        <v>1.5</v>
      </c>
      <c r="E25" s="153">
        <f t="shared" si="6"/>
        <v>0.002</v>
      </c>
      <c r="F25" s="151">
        <f>F17</f>
        <v>8</v>
      </c>
      <c r="G25" s="154">
        <v>126000000</v>
      </c>
      <c r="H25" s="155">
        <f t="shared" si="5"/>
        <v>31500</v>
      </c>
      <c r="I25" s="155">
        <f t="shared" si="7"/>
        <v>63</v>
      </c>
    </row>
    <row r="26" spans="1:9" s="138" customFormat="1" ht="19.5" customHeight="1">
      <c r="A26" s="151" t="s">
        <v>31</v>
      </c>
      <c r="B26" s="152" t="s">
        <v>265</v>
      </c>
      <c r="C26" s="151" t="s">
        <v>199</v>
      </c>
      <c r="D26" s="151">
        <v>0.4</v>
      </c>
      <c r="E26" s="153">
        <f t="shared" si="6"/>
        <v>0.001</v>
      </c>
      <c r="F26" s="151">
        <f>F18</f>
        <v>5</v>
      </c>
      <c r="G26" s="154">
        <v>7200000</v>
      </c>
      <c r="H26" s="155">
        <f t="shared" si="5"/>
        <v>2880</v>
      </c>
      <c r="I26" s="155">
        <f t="shared" si="7"/>
        <v>2.88</v>
      </c>
    </row>
    <row r="27" spans="1:9" s="138" customFormat="1" ht="19.5" customHeight="1">
      <c r="A27" s="151" t="s">
        <v>32</v>
      </c>
      <c r="B27" s="152" t="s">
        <v>267</v>
      </c>
      <c r="C27" s="151" t="s">
        <v>199</v>
      </c>
      <c r="D27" s="151">
        <v>0.5</v>
      </c>
      <c r="E27" s="153">
        <f t="shared" si="6"/>
        <v>0.001</v>
      </c>
      <c r="F27" s="145">
        <f>F19</f>
        <v>5</v>
      </c>
      <c r="G27" s="156">
        <v>150000000</v>
      </c>
      <c r="H27" s="155">
        <f t="shared" si="5"/>
        <v>60000</v>
      </c>
      <c r="I27" s="155">
        <f t="shared" si="7"/>
        <v>60</v>
      </c>
    </row>
    <row r="28" spans="1:9" s="138" customFormat="1" ht="19.5" customHeight="1">
      <c r="A28" s="151" t="s">
        <v>33</v>
      </c>
      <c r="B28" s="152" t="s">
        <v>229</v>
      </c>
      <c r="C28" s="151" t="s">
        <v>230</v>
      </c>
      <c r="D28" s="151"/>
      <c r="E28" s="153">
        <f t="shared" si="6"/>
        <v>0.793</v>
      </c>
      <c r="F28" s="151"/>
      <c r="G28" s="157">
        <v>2200</v>
      </c>
      <c r="H28" s="155">
        <v>1725</v>
      </c>
      <c r="I28" s="155">
        <f t="shared" si="7"/>
        <v>1367.925</v>
      </c>
    </row>
    <row r="29" spans="1:9" s="150" customFormat="1" ht="19.5" customHeight="1">
      <c r="A29" s="145" t="s">
        <v>23</v>
      </c>
      <c r="B29" s="400" t="s">
        <v>88</v>
      </c>
      <c r="C29" s="145" t="s">
        <v>233</v>
      </c>
      <c r="D29" s="145"/>
      <c r="E29" s="153" t="s">
        <v>272</v>
      </c>
      <c r="F29" s="145"/>
      <c r="G29" s="149"/>
      <c r="H29" s="49"/>
      <c r="I29" s="49">
        <f>SUM(I30:I36)/10</f>
        <v>333.76099999999997</v>
      </c>
    </row>
    <row r="30" spans="1:9" s="138" customFormat="1" ht="19.5" customHeight="1">
      <c r="A30" s="151" t="s">
        <v>304</v>
      </c>
      <c r="B30" s="152" t="s">
        <v>257</v>
      </c>
      <c r="C30" s="151" t="s">
        <v>199</v>
      </c>
      <c r="D30" s="151">
        <v>2.2</v>
      </c>
      <c r="E30" s="153">
        <f>E6*0.2</f>
        <v>0.08000000000000002</v>
      </c>
      <c r="F30" s="151">
        <f>F22</f>
        <v>8</v>
      </c>
      <c r="G30" s="154">
        <v>12700000</v>
      </c>
      <c r="H30" s="155">
        <f aca="true" t="shared" si="8" ref="H30:H35">G30/F30/500</f>
        <v>3175</v>
      </c>
      <c r="I30" s="155">
        <f>E30*H30</f>
        <v>254.00000000000006</v>
      </c>
    </row>
    <row r="31" spans="1:9" s="138" customFormat="1" ht="19.5" customHeight="1">
      <c r="A31" s="151" t="s">
        <v>305</v>
      </c>
      <c r="B31" s="152" t="s">
        <v>259</v>
      </c>
      <c r="C31" s="151" t="s">
        <v>199</v>
      </c>
      <c r="D31" s="151">
        <v>0.5</v>
      </c>
      <c r="E31" s="153">
        <f aca="true" t="shared" si="9" ref="E31:E36">E7*0.2</f>
        <v>0.002</v>
      </c>
      <c r="F31" s="145">
        <v>5</v>
      </c>
      <c r="G31" s="154">
        <v>45000000</v>
      </c>
      <c r="H31" s="155">
        <f t="shared" si="8"/>
        <v>18000</v>
      </c>
      <c r="I31" s="155">
        <f aca="true" t="shared" si="10" ref="I31:I36">E31*H31</f>
        <v>36</v>
      </c>
    </row>
    <row r="32" spans="1:9" s="138" customFormat="1" ht="19.5" customHeight="1">
      <c r="A32" s="151" t="s">
        <v>306</v>
      </c>
      <c r="B32" s="152" t="s">
        <v>261</v>
      </c>
      <c r="C32" s="151" t="s">
        <v>199</v>
      </c>
      <c r="D32" s="151">
        <v>0.4</v>
      </c>
      <c r="E32" s="153">
        <f t="shared" si="9"/>
        <v>0.010000000000000002</v>
      </c>
      <c r="F32" s="151">
        <v>5</v>
      </c>
      <c r="G32" s="154">
        <v>15000000</v>
      </c>
      <c r="H32" s="155">
        <f t="shared" si="8"/>
        <v>6000</v>
      </c>
      <c r="I32" s="155">
        <f t="shared" si="10"/>
        <v>60.000000000000014</v>
      </c>
    </row>
    <row r="33" spans="1:9" s="138" customFormat="1" ht="19.5" customHeight="1">
      <c r="A33" s="151" t="s">
        <v>307</v>
      </c>
      <c r="B33" s="152" t="s">
        <v>263</v>
      </c>
      <c r="C33" s="151" t="s">
        <v>199</v>
      </c>
      <c r="D33" s="151">
        <v>1.5</v>
      </c>
      <c r="E33" s="153">
        <f t="shared" si="9"/>
        <v>0.004</v>
      </c>
      <c r="F33" s="151">
        <f>F25</f>
        <v>8</v>
      </c>
      <c r="G33" s="154">
        <v>126000000</v>
      </c>
      <c r="H33" s="155">
        <f t="shared" si="8"/>
        <v>31500</v>
      </c>
      <c r="I33" s="155">
        <f t="shared" si="10"/>
        <v>126</v>
      </c>
    </row>
    <row r="34" spans="1:9" s="138" customFormat="1" ht="19.5" customHeight="1">
      <c r="A34" s="151" t="s">
        <v>308</v>
      </c>
      <c r="B34" s="152" t="s">
        <v>265</v>
      </c>
      <c r="C34" s="151" t="s">
        <v>199</v>
      </c>
      <c r="D34" s="151">
        <v>0.4</v>
      </c>
      <c r="E34" s="153">
        <f t="shared" si="9"/>
        <v>0.002</v>
      </c>
      <c r="F34" s="151">
        <f>F26</f>
        <v>5</v>
      </c>
      <c r="G34" s="154">
        <v>7200000</v>
      </c>
      <c r="H34" s="155">
        <f t="shared" si="8"/>
        <v>2880</v>
      </c>
      <c r="I34" s="155">
        <f t="shared" si="10"/>
        <v>5.76</v>
      </c>
    </row>
    <row r="35" spans="1:9" s="138" customFormat="1" ht="19.5" customHeight="1">
      <c r="A35" s="151" t="s">
        <v>309</v>
      </c>
      <c r="B35" s="152" t="s">
        <v>267</v>
      </c>
      <c r="C35" s="151" t="s">
        <v>199</v>
      </c>
      <c r="D35" s="151">
        <v>0.5</v>
      </c>
      <c r="E35" s="153">
        <f t="shared" si="9"/>
        <v>0.002</v>
      </c>
      <c r="F35" s="145">
        <f>F19</f>
        <v>5</v>
      </c>
      <c r="G35" s="156">
        <v>150000000</v>
      </c>
      <c r="H35" s="155">
        <f t="shared" si="8"/>
        <v>60000</v>
      </c>
      <c r="I35" s="155">
        <f t="shared" si="10"/>
        <v>120</v>
      </c>
    </row>
    <row r="36" spans="1:9" s="138" customFormat="1" ht="19.5" customHeight="1">
      <c r="A36" s="151" t="s">
        <v>310</v>
      </c>
      <c r="B36" s="152" t="s">
        <v>229</v>
      </c>
      <c r="C36" s="151" t="s">
        <v>230</v>
      </c>
      <c r="D36" s="151"/>
      <c r="E36" s="153">
        <f t="shared" si="9"/>
        <v>1.586</v>
      </c>
      <c r="F36" s="151"/>
      <c r="G36" s="157">
        <v>2200</v>
      </c>
      <c r="H36" s="155">
        <v>1725</v>
      </c>
      <c r="I36" s="155">
        <f t="shared" si="10"/>
        <v>2735.85</v>
      </c>
    </row>
    <row r="37" spans="1:9" s="150" customFormat="1" ht="19.5" customHeight="1">
      <c r="A37" s="145" t="s">
        <v>24</v>
      </c>
      <c r="B37" s="146" t="s">
        <v>90</v>
      </c>
      <c r="C37" s="145" t="s">
        <v>234</v>
      </c>
      <c r="D37" s="145"/>
      <c r="E37" s="153" t="s">
        <v>273</v>
      </c>
      <c r="F37" s="145"/>
      <c r="G37" s="149"/>
      <c r="H37" s="49"/>
      <c r="I37" s="49">
        <f>SUM(I38:I44)/10</f>
        <v>834.4024999999999</v>
      </c>
    </row>
    <row r="38" spans="1:9" s="138" customFormat="1" ht="19.5" customHeight="1">
      <c r="A38" s="151" t="s">
        <v>34</v>
      </c>
      <c r="B38" s="152" t="s">
        <v>257</v>
      </c>
      <c r="C38" s="151" t="s">
        <v>199</v>
      </c>
      <c r="D38" s="151">
        <v>2.2</v>
      </c>
      <c r="E38" s="153">
        <f>0.5*E6</f>
        <v>0.2</v>
      </c>
      <c r="F38" s="151">
        <f>F30</f>
        <v>8</v>
      </c>
      <c r="G38" s="154">
        <v>12700000</v>
      </c>
      <c r="H38" s="155">
        <f aca="true" t="shared" si="11" ref="H38:H43">G38/F38/500</f>
        <v>3175</v>
      </c>
      <c r="I38" s="155">
        <f>E38*H38</f>
        <v>635</v>
      </c>
    </row>
    <row r="39" spans="1:9" s="138" customFormat="1" ht="19.5" customHeight="1">
      <c r="A39" s="151" t="s">
        <v>35</v>
      </c>
      <c r="B39" s="152" t="s">
        <v>259</v>
      </c>
      <c r="C39" s="151" t="s">
        <v>199</v>
      </c>
      <c r="D39" s="151">
        <v>0.5</v>
      </c>
      <c r="E39" s="153">
        <f aca="true" t="shared" si="12" ref="E39:E44">0.5*E7</f>
        <v>0.005</v>
      </c>
      <c r="F39" s="145">
        <v>5</v>
      </c>
      <c r="G39" s="154">
        <v>45000000</v>
      </c>
      <c r="H39" s="155">
        <f t="shared" si="11"/>
        <v>18000</v>
      </c>
      <c r="I39" s="155">
        <f aca="true" t="shared" si="13" ref="I39:I44">E39*H39</f>
        <v>90</v>
      </c>
    </row>
    <row r="40" spans="1:9" s="138" customFormat="1" ht="19.5" customHeight="1">
      <c r="A40" s="151" t="s">
        <v>36</v>
      </c>
      <c r="B40" s="152" t="s">
        <v>261</v>
      </c>
      <c r="C40" s="151" t="s">
        <v>199</v>
      </c>
      <c r="D40" s="151">
        <v>0.4</v>
      </c>
      <c r="E40" s="153">
        <f t="shared" si="12"/>
        <v>0.025</v>
      </c>
      <c r="F40" s="151">
        <v>5</v>
      </c>
      <c r="G40" s="154">
        <v>15000000</v>
      </c>
      <c r="H40" s="155">
        <f t="shared" si="11"/>
        <v>6000</v>
      </c>
      <c r="I40" s="155">
        <f t="shared" si="13"/>
        <v>150</v>
      </c>
    </row>
    <row r="41" spans="1:9" s="138" customFormat="1" ht="19.5" customHeight="1">
      <c r="A41" s="151" t="s">
        <v>37</v>
      </c>
      <c r="B41" s="152" t="s">
        <v>263</v>
      </c>
      <c r="C41" s="151" t="s">
        <v>199</v>
      </c>
      <c r="D41" s="151">
        <v>1.5</v>
      </c>
      <c r="E41" s="153">
        <f t="shared" si="12"/>
        <v>0.01</v>
      </c>
      <c r="F41" s="151">
        <f>F33</f>
        <v>8</v>
      </c>
      <c r="G41" s="154">
        <v>126000000</v>
      </c>
      <c r="H41" s="155">
        <f t="shared" si="11"/>
        <v>31500</v>
      </c>
      <c r="I41" s="155">
        <f t="shared" si="13"/>
        <v>315</v>
      </c>
    </row>
    <row r="42" spans="1:9" s="138" customFormat="1" ht="19.5" customHeight="1">
      <c r="A42" s="151" t="s">
        <v>311</v>
      </c>
      <c r="B42" s="152" t="s">
        <v>265</v>
      </c>
      <c r="C42" s="151" t="s">
        <v>199</v>
      </c>
      <c r="D42" s="151">
        <v>0.4</v>
      </c>
      <c r="E42" s="153">
        <f t="shared" si="12"/>
        <v>0.005</v>
      </c>
      <c r="F42" s="151">
        <f>F34</f>
        <v>5</v>
      </c>
      <c r="G42" s="154">
        <v>7200000</v>
      </c>
      <c r="H42" s="155">
        <f t="shared" si="11"/>
        <v>2880</v>
      </c>
      <c r="I42" s="155">
        <f t="shared" si="13"/>
        <v>14.4</v>
      </c>
    </row>
    <row r="43" spans="1:9" s="138" customFormat="1" ht="19.5" customHeight="1">
      <c r="A43" s="151" t="s">
        <v>312</v>
      </c>
      <c r="B43" s="152" t="s">
        <v>267</v>
      </c>
      <c r="C43" s="151" t="s">
        <v>199</v>
      </c>
      <c r="D43" s="151">
        <v>0.5</v>
      </c>
      <c r="E43" s="153">
        <f t="shared" si="12"/>
        <v>0.005</v>
      </c>
      <c r="F43" s="145">
        <f>F23</f>
        <v>5</v>
      </c>
      <c r="G43" s="156">
        <v>150000000</v>
      </c>
      <c r="H43" s="155">
        <f t="shared" si="11"/>
        <v>60000</v>
      </c>
      <c r="I43" s="155">
        <f t="shared" si="13"/>
        <v>300</v>
      </c>
    </row>
    <row r="44" spans="1:9" s="138" customFormat="1" ht="19.5" customHeight="1">
      <c r="A44" s="151" t="s">
        <v>313</v>
      </c>
      <c r="B44" s="152" t="s">
        <v>229</v>
      </c>
      <c r="C44" s="151" t="s">
        <v>230</v>
      </c>
      <c r="D44" s="151"/>
      <c r="E44" s="153">
        <f t="shared" si="12"/>
        <v>3.965</v>
      </c>
      <c r="F44" s="151"/>
      <c r="G44" s="157">
        <v>2200</v>
      </c>
      <c r="H44" s="155">
        <v>1725</v>
      </c>
      <c r="I44" s="155">
        <f t="shared" si="13"/>
        <v>6839.625</v>
      </c>
    </row>
    <row r="45" spans="1:9" s="150" customFormat="1" ht="19.5" customHeight="1">
      <c r="A45" s="145" t="s">
        <v>38</v>
      </c>
      <c r="B45" s="146" t="s">
        <v>92</v>
      </c>
      <c r="C45" s="145" t="s">
        <v>235</v>
      </c>
      <c r="D45" s="145"/>
      <c r="E45" s="153" t="s">
        <v>274</v>
      </c>
      <c r="F45" s="145"/>
      <c r="G45" s="149"/>
      <c r="H45" s="49"/>
      <c r="I45" s="49">
        <f>SUM(I46:I52)/10</f>
        <v>1668.8049999999998</v>
      </c>
    </row>
    <row r="46" spans="1:9" s="138" customFormat="1" ht="19.5" customHeight="1">
      <c r="A46" s="151" t="s">
        <v>314</v>
      </c>
      <c r="B46" s="152" t="s">
        <v>257</v>
      </c>
      <c r="C46" s="151" t="s">
        <v>199</v>
      </c>
      <c r="D46" s="151">
        <v>2.2</v>
      </c>
      <c r="E46" s="153">
        <f aca="true" t="shared" si="14" ref="E46:E52">E6</f>
        <v>0.4</v>
      </c>
      <c r="F46" s="151">
        <f>F38</f>
        <v>8</v>
      </c>
      <c r="G46" s="154">
        <v>12700000</v>
      </c>
      <c r="H46" s="155">
        <f aca="true" t="shared" si="15" ref="H46:H51">G46/F46/500</f>
        <v>3175</v>
      </c>
      <c r="I46" s="155">
        <f>E46*H46</f>
        <v>1270</v>
      </c>
    </row>
    <row r="47" spans="1:9" s="138" customFormat="1" ht="19.5" customHeight="1">
      <c r="A47" s="151" t="s">
        <v>315</v>
      </c>
      <c r="B47" s="152" t="s">
        <v>259</v>
      </c>
      <c r="C47" s="151" t="s">
        <v>199</v>
      </c>
      <c r="D47" s="151">
        <v>0.5</v>
      </c>
      <c r="E47" s="153">
        <f t="shared" si="14"/>
        <v>0.01</v>
      </c>
      <c r="F47" s="145">
        <v>5</v>
      </c>
      <c r="G47" s="154">
        <v>45000000</v>
      </c>
      <c r="H47" s="155">
        <f t="shared" si="15"/>
        <v>18000</v>
      </c>
      <c r="I47" s="155">
        <f aca="true" t="shared" si="16" ref="I47:I52">E47*H47</f>
        <v>180</v>
      </c>
    </row>
    <row r="48" spans="1:9" s="138" customFormat="1" ht="19.5" customHeight="1">
      <c r="A48" s="151" t="s">
        <v>316</v>
      </c>
      <c r="B48" s="152" t="s">
        <v>261</v>
      </c>
      <c r="C48" s="151" t="s">
        <v>199</v>
      </c>
      <c r="D48" s="151">
        <v>0.4</v>
      </c>
      <c r="E48" s="153">
        <f t="shared" si="14"/>
        <v>0.05</v>
      </c>
      <c r="F48" s="151">
        <v>5</v>
      </c>
      <c r="G48" s="154">
        <v>15000000</v>
      </c>
      <c r="H48" s="155">
        <f t="shared" si="15"/>
        <v>6000</v>
      </c>
      <c r="I48" s="155">
        <f t="shared" si="16"/>
        <v>300</v>
      </c>
    </row>
    <row r="49" spans="1:9" s="138" customFormat="1" ht="19.5" customHeight="1">
      <c r="A49" s="151" t="s">
        <v>317</v>
      </c>
      <c r="B49" s="152" t="s">
        <v>263</v>
      </c>
      <c r="C49" s="151" t="s">
        <v>199</v>
      </c>
      <c r="D49" s="151">
        <v>1.5</v>
      </c>
      <c r="E49" s="153">
        <f t="shared" si="14"/>
        <v>0.02</v>
      </c>
      <c r="F49" s="151">
        <f>F41</f>
        <v>8</v>
      </c>
      <c r="G49" s="154">
        <v>126000000</v>
      </c>
      <c r="H49" s="155">
        <f t="shared" si="15"/>
        <v>31500</v>
      </c>
      <c r="I49" s="155">
        <f t="shared" si="16"/>
        <v>630</v>
      </c>
    </row>
    <row r="50" spans="1:9" s="138" customFormat="1" ht="19.5" customHeight="1">
      <c r="A50" s="151" t="s">
        <v>318</v>
      </c>
      <c r="B50" s="152" t="s">
        <v>265</v>
      </c>
      <c r="C50" s="151" t="s">
        <v>199</v>
      </c>
      <c r="D50" s="151">
        <v>0.4</v>
      </c>
      <c r="E50" s="153">
        <f t="shared" si="14"/>
        <v>0.01</v>
      </c>
      <c r="F50" s="151">
        <f>F42</f>
        <v>5</v>
      </c>
      <c r="G50" s="154">
        <v>7200000</v>
      </c>
      <c r="H50" s="155">
        <f t="shared" si="15"/>
        <v>2880</v>
      </c>
      <c r="I50" s="155">
        <f t="shared" si="16"/>
        <v>28.8</v>
      </c>
    </row>
    <row r="51" spans="1:9" s="138" customFormat="1" ht="19.5" customHeight="1">
      <c r="A51" s="151" t="s">
        <v>319</v>
      </c>
      <c r="B51" s="152" t="s">
        <v>267</v>
      </c>
      <c r="C51" s="151" t="s">
        <v>199</v>
      </c>
      <c r="D51" s="151">
        <v>0.5</v>
      </c>
      <c r="E51" s="153">
        <f t="shared" si="14"/>
        <v>0.01</v>
      </c>
      <c r="F51" s="145">
        <f>F35</f>
        <v>5</v>
      </c>
      <c r="G51" s="156">
        <v>150000000</v>
      </c>
      <c r="H51" s="155">
        <f t="shared" si="15"/>
        <v>60000</v>
      </c>
      <c r="I51" s="155">
        <f t="shared" si="16"/>
        <v>600</v>
      </c>
    </row>
    <row r="52" spans="1:9" s="138" customFormat="1" ht="19.5" customHeight="1">
      <c r="A52" s="151" t="s">
        <v>320</v>
      </c>
      <c r="B52" s="152" t="s">
        <v>229</v>
      </c>
      <c r="C52" s="151" t="s">
        <v>230</v>
      </c>
      <c r="D52" s="151"/>
      <c r="E52" s="153">
        <f t="shared" si="14"/>
        <v>7.93</v>
      </c>
      <c r="F52" s="151"/>
      <c r="G52" s="157">
        <v>2200</v>
      </c>
      <c r="H52" s="155">
        <v>1725</v>
      </c>
      <c r="I52" s="155">
        <f t="shared" si="16"/>
        <v>13679.25</v>
      </c>
    </row>
    <row r="53" spans="1:9" s="150" customFormat="1" ht="19.5" customHeight="1">
      <c r="A53" s="145" t="s">
        <v>39</v>
      </c>
      <c r="B53" s="400" t="s">
        <v>93</v>
      </c>
      <c r="C53" s="145" t="s">
        <v>236</v>
      </c>
      <c r="D53" s="145"/>
      <c r="E53" s="153" t="s">
        <v>272</v>
      </c>
      <c r="F53" s="145"/>
      <c r="G53" s="149"/>
      <c r="H53" s="49"/>
      <c r="I53" s="49">
        <f>SUM(I54:I60)/10</f>
        <v>332.41099999999994</v>
      </c>
    </row>
    <row r="54" spans="1:9" s="138" customFormat="1" ht="19.5" customHeight="1">
      <c r="A54" s="151" t="s">
        <v>321</v>
      </c>
      <c r="B54" s="152" t="s">
        <v>257</v>
      </c>
      <c r="C54" s="151" t="s">
        <v>199</v>
      </c>
      <c r="D54" s="151">
        <v>2.2</v>
      </c>
      <c r="E54" s="153">
        <f>0.2*E6</f>
        <v>0.08000000000000002</v>
      </c>
      <c r="F54" s="151">
        <f>F46</f>
        <v>8</v>
      </c>
      <c r="G54" s="154">
        <v>12700000</v>
      </c>
      <c r="H54" s="155">
        <f aca="true" t="shared" si="17" ref="H54:H59">G54/F54/500</f>
        <v>3175</v>
      </c>
      <c r="I54" s="155">
        <f>E54*H54</f>
        <v>254.00000000000006</v>
      </c>
    </row>
    <row r="55" spans="1:9" s="138" customFormat="1" ht="19.5" customHeight="1">
      <c r="A55" s="151" t="s">
        <v>322</v>
      </c>
      <c r="B55" s="152" t="s">
        <v>259</v>
      </c>
      <c r="C55" s="151" t="s">
        <v>199</v>
      </c>
      <c r="D55" s="151">
        <v>0.5</v>
      </c>
      <c r="E55" s="153">
        <f aca="true" t="shared" si="18" ref="E55:E60">0.2*E7</f>
        <v>0.002</v>
      </c>
      <c r="F55" s="145">
        <f>8</f>
        <v>8</v>
      </c>
      <c r="G55" s="154">
        <v>45000000</v>
      </c>
      <c r="H55" s="155">
        <f t="shared" si="17"/>
        <v>11250</v>
      </c>
      <c r="I55" s="155">
        <f aca="true" t="shared" si="19" ref="I55:I60">E55*H55</f>
        <v>22.5</v>
      </c>
    </row>
    <row r="56" spans="1:9" s="138" customFormat="1" ht="19.5" customHeight="1">
      <c r="A56" s="151" t="s">
        <v>323</v>
      </c>
      <c r="B56" s="152" t="s">
        <v>261</v>
      </c>
      <c r="C56" s="151" t="s">
        <v>199</v>
      </c>
      <c r="D56" s="151">
        <v>0.4</v>
      </c>
      <c r="E56" s="153">
        <f t="shared" si="18"/>
        <v>0.010000000000000002</v>
      </c>
      <c r="F56" s="151">
        <v>5</v>
      </c>
      <c r="G56" s="154">
        <v>15000000</v>
      </c>
      <c r="H56" s="155">
        <f t="shared" si="17"/>
        <v>6000</v>
      </c>
      <c r="I56" s="155">
        <f t="shared" si="19"/>
        <v>60.000000000000014</v>
      </c>
    </row>
    <row r="57" spans="1:9" s="138" customFormat="1" ht="19.5" customHeight="1">
      <c r="A57" s="151" t="s">
        <v>324</v>
      </c>
      <c r="B57" s="152" t="s">
        <v>263</v>
      </c>
      <c r="C57" s="151" t="s">
        <v>199</v>
      </c>
      <c r="D57" s="151">
        <v>1.5</v>
      </c>
      <c r="E57" s="153">
        <f t="shared" si="18"/>
        <v>0.004</v>
      </c>
      <c r="F57" s="151">
        <f>F49</f>
        <v>8</v>
      </c>
      <c r="G57" s="154">
        <v>126000000</v>
      </c>
      <c r="H57" s="155">
        <f t="shared" si="17"/>
        <v>31500</v>
      </c>
      <c r="I57" s="155">
        <f t="shared" si="19"/>
        <v>126</v>
      </c>
    </row>
    <row r="58" spans="1:9" s="138" customFormat="1" ht="19.5" customHeight="1">
      <c r="A58" s="151" t="s">
        <v>325</v>
      </c>
      <c r="B58" s="152" t="s">
        <v>265</v>
      </c>
      <c r="C58" s="151" t="s">
        <v>199</v>
      </c>
      <c r="D58" s="151">
        <v>0.4</v>
      </c>
      <c r="E58" s="153">
        <f t="shared" si="18"/>
        <v>0.002</v>
      </c>
      <c r="F58" s="151">
        <f>F50</f>
        <v>5</v>
      </c>
      <c r="G58" s="154">
        <v>7200000</v>
      </c>
      <c r="H58" s="155">
        <f t="shared" si="17"/>
        <v>2880</v>
      </c>
      <c r="I58" s="155">
        <f t="shared" si="19"/>
        <v>5.76</v>
      </c>
    </row>
    <row r="59" spans="1:9" s="138" customFormat="1" ht="19.5" customHeight="1">
      <c r="A59" s="151" t="s">
        <v>326</v>
      </c>
      <c r="B59" s="152" t="s">
        <v>267</v>
      </c>
      <c r="C59" s="151" t="s">
        <v>199</v>
      </c>
      <c r="D59" s="151">
        <v>0.5</v>
      </c>
      <c r="E59" s="153">
        <f t="shared" si="18"/>
        <v>0.002</v>
      </c>
      <c r="F59" s="145">
        <f>F47</f>
        <v>5</v>
      </c>
      <c r="G59" s="156">
        <v>150000000</v>
      </c>
      <c r="H59" s="155">
        <f t="shared" si="17"/>
        <v>60000</v>
      </c>
      <c r="I59" s="155">
        <f t="shared" si="19"/>
        <v>120</v>
      </c>
    </row>
    <row r="60" spans="1:9" s="138" customFormat="1" ht="19.5" customHeight="1">
      <c r="A60" s="151" t="s">
        <v>327</v>
      </c>
      <c r="B60" s="152" t="s">
        <v>229</v>
      </c>
      <c r="C60" s="151" t="s">
        <v>230</v>
      </c>
      <c r="D60" s="151"/>
      <c r="E60" s="153">
        <f t="shared" si="18"/>
        <v>1.586</v>
      </c>
      <c r="F60" s="151"/>
      <c r="G60" s="157">
        <v>2200</v>
      </c>
      <c r="H60" s="155">
        <v>1725</v>
      </c>
      <c r="I60" s="155">
        <f t="shared" si="19"/>
        <v>2735.85</v>
      </c>
    </row>
    <row r="61" spans="1:9" s="150" customFormat="1" ht="19.5" customHeight="1">
      <c r="A61" s="145" t="s">
        <v>95</v>
      </c>
      <c r="B61" s="146" t="s">
        <v>96</v>
      </c>
      <c r="C61" s="145" t="s">
        <v>236</v>
      </c>
      <c r="D61" s="145"/>
      <c r="E61" s="153" t="s">
        <v>270</v>
      </c>
      <c r="F61" s="145"/>
      <c r="G61" s="149"/>
      <c r="H61" s="49"/>
      <c r="I61" s="49">
        <f>SUM(I62:I68)/10</f>
        <v>166.20549999999997</v>
      </c>
    </row>
    <row r="62" spans="1:9" s="138" customFormat="1" ht="19.5" customHeight="1">
      <c r="A62" s="151" t="s">
        <v>328</v>
      </c>
      <c r="B62" s="152" t="s">
        <v>257</v>
      </c>
      <c r="C62" s="151" t="s">
        <v>199</v>
      </c>
      <c r="D62" s="151">
        <v>2.2</v>
      </c>
      <c r="E62" s="153">
        <f aca="true" t="shared" si="20" ref="E62:E68">0.1*E6</f>
        <v>0.04000000000000001</v>
      </c>
      <c r="F62" s="151">
        <f>F55</f>
        <v>8</v>
      </c>
      <c r="G62" s="154">
        <v>12700000</v>
      </c>
      <c r="H62" s="155">
        <f aca="true" t="shared" si="21" ref="H62:H67">G62/F62/500</f>
        <v>3175</v>
      </c>
      <c r="I62" s="155">
        <f>E62*H62</f>
        <v>127.00000000000003</v>
      </c>
    </row>
    <row r="63" spans="1:9" s="138" customFormat="1" ht="19.5" customHeight="1">
      <c r="A63" s="151" t="s">
        <v>329</v>
      </c>
      <c r="B63" s="152" t="s">
        <v>259</v>
      </c>
      <c r="C63" s="151" t="s">
        <v>199</v>
      </c>
      <c r="D63" s="151">
        <v>0.5</v>
      </c>
      <c r="E63" s="153">
        <f t="shared" si="20"/>
        <v>0.001</v>
      </c>
      <c r="F63" s="145">
        <f>F55</f>
        <v>8</v>
      </c>
      <c r="G63" s="154">
        <v>45000000</v>
      </c>
      <c r="H63" s="155">
        <f t="shared" si="21"/>
        <v>11250</v>
      </c>
      <c r="I63" s="155">
        <f aca="true" t="shared" si="22" ref="I63:I68">E63*H63</f>
        <v>11.25</v>
      </c>
    </row>
    <row r="64" spans="1:9" s="138" customFormat="1" ht="19.5" customHeight="1">
      <c r="A64" s="151" t="s">
        <v>330</v>
      </c>
      <c r="B64" s="152" t="s">
        <v>261</v>
      </c>
      <c r="C64" s="151" t="s">
        <v>199</v>
      </c>
      <c r="D64" s="151">
        <v>0.4</v>
      </c>
      <c r="E64" s="153">
        <f t="shared" si="20"/>
        <v>0.005000000000000001</v>
      </c>
      <c r="F64" s="151">
        <v>5</v>
      </c>
      <c r="G64" s="154">
        <v>15000000</v>
      </c>
      <c r="H64" s="155">
        <f t="shared" si="21"/>
        <v>6000</v>
      </c>
      <c r="I64" s="155">
        <f t="shared" si="22"/>
        <v>30.000000000000007</v>
      </c>
    </row>
    <row r="65" spans="1:9" s="138" customFormat="1" ht="19.5" customHeight="1">
      <c r="A65" s="151" t="s">
        <v>331</v>
      </c>
      <c r="B65" s="152" t="s">
        <v>263</v>
      </c>
      <c r="C65" s="151" t="s">
        <v>199</v>
      </c>
      <c r="D65" s="151">
        <v>1.5</v>
      </c>
      <c r="E65" s="153">
        <f t="shared" si="20"/>
        <v>0.002</v>
      </c>
      <c r="F65" s="151">
        <f>F57</f>
        <v>8</v>
      </c>
      <c r="G65" s="154">
        <v>126000000</v>
      </c>
      <c r="H65" s="155">
        <f t="shared" si="21"/>
        <v>31500</v>
      </c>
      <c r="I65" s="155">
        <f t="shared" si="22"/>
        <v>63</v>
      </c>
    </row>
    <row r="66" spans="1:9" s="138" customFormat="1" ht="19.5" customHeight="1">
      <c r="A66" s="151" t="s">
        <v>332</v>
      </c>
      <c r="B66" s="152" t="s">
        <v>265</v>
      </c>
      <c r="C66" s="151" t="s">
        <v>199</v>
      </c>
      <c r="D66" s="151">
        <v>0.4</v>
      </c>
      <c r="E66" s="153">
        <f t="shared" si="20"/>
        <v>0.001</v>
      </c>
      <c r="F66" s="151">
        <f>F58</f>
        <v>5</v>
      </c>
      <c r="G66" s="154">
        <v>7200000</v>
      </c>
      <c r="H66" s="155">
        <f t="shared" si="21"/>
        <v>2880</v>
      </c>
      <c r="I66" s="155">
        <f t="shared" si="22"/>
        <v>2.88</v>
      </c>
    </row>
    <row r="67" spans="1:9" s="138" customFormat="1" ht="19.5" customHeight="1">
      <c r="A67" s="151" t="s">
        <v>333</v>
      </c>
      <c r="B67" s="152" t="s">
        <v>267</v>
      </c>
      <c r="C67" s="151" t="s">
        <v>199</v>
      </c>
      <c r="D67" s="151">
        <v>0.5</v>
      </c>
      <c r="E67" s="153">
        <f t="shared" si="20"/>
        <v>0.001</v>
      </c>
      <c r="F67" s="145">
        <f>F59</f>
        <v>5</v>
      </c>
      <c r="G67" s="156">
        <v>150000000</v>
      </c>
      <c r="H67" s="155">
        <f t="shared" si="21"/>
        <v>60000</v>
      </c>
      <c r="I67" s="155">
        <f t="shared" si="22"/>
        <v>60</v>
      </c>
    </row>
    <row r="68" spans="1:9" s="138" customFormat="1" ht="19.5" customHeight="1">
      <c r="A68" s="151" t="s">
        <v>334</v>
      </c>
      <c r="B68" s="152" t="s">
        <v>229</v>
      </c>
      <c r="C68" s="151" t="s">
        <v>230</v>
      </c>
      <c r="D68" s="151"/>
      <c r="E68" s="153">
        <f t="shared" si="20"/>
        <v>0.793</v>
      </c>
      <c r="F68" s="151"/>
      <c r="G68" s="157">
        <v>2200</v>
      </c>
      <c r="H68" s="155">
        <v>1725</v>
      </c>
      <c r="I68" s="155">
        <f t="shared" si="22"/>
        <v>1367.925</v>
      </c>
    </row>
    <row r="69" spans="1:9" s="144" customFormat="1" ht="19.5" customHeight="1">
      <c r="A69" s="158">
        <v>2</v>
      </c>
      <c r="B69" s="159" t="s">
        <v>97</v>
      </c>
      <c r="C69" s="158"/>
      <c r="D69" s="158"/>
      <c r="E69" s="160"/>
      <c r="F69" s="158"/>
      <c r="G69" s="161"/>
      <c r="H69" s="162"/>
      <c r="I69" s="182">
        <f>I70+I76+I82+I88+I94+I100+I106+I112</f>
        <v>28697.519199999995</v>
      </c>
    </row>
    <row r="70" spans="1:9" s="150" customFormat="1" ht="19.5" customHeight="1">
      <c r="A70" s="145" t="s">
        <v>13</v>
      </c>
      <c r="B70" s="146" t="s">
        <v>256</v>
      </c>
      <c r="C70" s="145" t="s">
        <v>231</v>
      </c>
      <c r="D70" s="147"/>
      <c r="E70" s="148"/>
      <c r="F70" s="147"/>
      <c r="G70" s="149"/>
      <c r="H70" s="49"/>
      <c r="I70" s="49">
        <f>SUM(I71:I75)/10</f>
        <v>3400.1800000000003</v>
      </c>
    </row>
    <row r="71" spans="1:9" s="138" customFormat="1" ht="19.5" customHeight="1">
      <c r="A71" s="151" t="s">
        <v>40</v>
      </c>
      <c r="B71" s="152" t="s">
        <v>257</v>
      </c>
      <c r="C71" s="151" t="s">
        <v>199</v>
      </c>
      <c r="D71" s="151">
        <v>2.2</v>
      </c>
      <c r="E71" s="153">
        <v>0.32</v>
      </c>
      <c r="F71" s="151">
        <f>F62</f>
        <v>8</v>
      </c>
      <c r="G71" s="157">
        <f>G62</f>
        <v>12700000</v>
      </c>
      <c r="H71" s="155">
        <f>G71/F71/500</f>
        <v>3175</v>
      </c>
      <c r="I71" s="155">
        <f>H71*E71</f>
        <v>1016</v>
      </c>
    </row>
    <row r="72" spans="1:9" s="138" customFormat="1" ht="19.5" customHeight="1">
      <c r="A72" s="151" t="s">
        <v>41</v>
      </c>
      <c r="B72" s="152" t="s">
        <v>261</v>
      </c>
      <c r="C72" s="151" t="s">
        <v>199</v>
      </c>
      <c r="D72" s="151">
        <v>0.4</v>
      </c>
      <c r="E72" s="153">
        <v>1.44</v>
      </c>
      <c r="F72" s="151">
        <v>5</v>
      </c>
      <c r="G72" s="157">
        <f>G64</f>
        <v>15000000</v>
      </c>
      <c r="H72" s="155">
        <f>G72/F72/500</f>
        <v>6000</v>
      </c>
      <c r="I72" s="155">
        <f>H72*E72</f>
        <v>8640</v>
      </c>
    </row>
    <row r="73" spans="1:9" s="138" customFormat="1" ht="19.5" customHeight="1">
      <c r="A73" s="151" t="s">
        <v>124</v>
      </c>
      <c r="B73" s="152" t="s">
        <v>263</v>
      </c>
      <c r="C73" s="151" t="s">
        <v>199</v>
      </c>
      <c r="D73" s="151">
        <v>1.5</v>
      </c>
      <c r="E73" s="153">
        <v>0.01</v>
      </c>
      <c r="F73" s="151">
        <f>F65</f>
        <v>8</v>
      </c>
      <c r="G73" s="157">
        <f>G65</f>
        <v>126000000</v>
      </c>
      <c r="H73" s="155">
        <f>G73/F73/500</f>
        <v>31500</v>
      </c>
      <c r="I73" s="155">
        <f>H73*E73</f>
        <v>315</v>
      </c>
    </row>
    <row r="74" spans="1:9" s="138" customFormat="1" ht="19.5" customHeight="1">
      <c r="A74" s="151" t="s">
        <v>127</v>
      </c>
      <c r="B74" s="152" t="s">
        <v>265</v>
      </c>
      <c r="C74" s="151" t="s">
        <v>199</v>
      </c>
      <c r="D74" s="151">
        <v>0.4</v>
      </c>
      <c r="E74" s="153">
        <v>0.01</v>
      </c>
      <c r="F74" s="151">
        <f>F66</f>
        <v>5</v>
      </c>
      <c r="G74" s="157">
        <f>G66</f>
        <v>7200000</v>
      </c>
      <c r="H74" s="155">
        <f>G74/F74/500</f>
        <v>2880</v>
      </c>
      <c r="I74" s="155">
        <f>H74*E74</f>
        <v>28.8</v>
      </c>
    </row>
    <row r="75" spans="1:9" s="138" customFormat="1" ht="19.5" customHeight="1">
      <c r="A75" s="151" t="s">
        <v>276</v>
      </c>
      <c r="B75" s="152" t="s">
        <v>229</v>
      </c>
      <c r="C75" s="151" t="s">
        <v>230</v>
      </c>
      <c r="D75" s="151"/>
      <c r="E75" s="153">
        <v>10.91</v>
      </c>
      <c r="F75" s="151"/>
      <c r="G75" s="157">
        <f>G68</f>
        <v>2200</v>
      </c>
      <c r="H75" s="155">
        <f>G75</f>
        <v>2200</v>
      </c>
      <c r="I75" s="155">
        <f>H75*E75</f>
        <v>24002</v>
      </c>
    </row>
    <row r="76" spans="1:9" s="150" customFormat="1" ht="19.5" customHeight="1">
      <c r="A76" s="145" t="s">
        <v>14</v>
      </c>
      <c r="B76" s="146" t="s">
        <v>269</v>
      </c>
      <c r="C76" s="145" t="s">
        <v>231</v>
      </c>
      <c r="D76" s="147"/>
      <c r="E76" s="153" t="s">
        <v>277</v>
      </c>
      <c r="F76" s="145"/>
      <c r="G76" s="149"/>
      <c r="H76" s="49"/>
      <c r="I76" s="49">
        <f>SUM(I77:I81)/10</f>
        <v>238.01260000000002</v>
      </c>
    </row>
    <row r="77" spans="1:9" s="138" customFormat="1" ht="19.5" customHeight="1">
      <c r="A77" s="151" t="s">
        <v>135</v>
      </c>
      <c r="B77" s="152" t="s">
        <v>257</v>
      </c>
      <c r="C77" s="151" t="s">
        <v>199</v>
      </c>
      <c r="D77" s="151">
        <v>2.2</v>
      </c>
      <c r="E77" s="153">
        <f>0.07*E71</f>
        <v>0.022400000000000003</v>
      </c>
      <c r="F77" s="151">
        <f>F71</f>
        <v>8</v>
      </c>
      <c r="G77" s="157">
        <f>G71</f>
        <v>12700000</v>
      </c>
      <c r="H77" s="155">
        <f>G77/F77/500</f>
        <v>3175</v>
      </c>
      <c r="I77" s="155">
        <f>H77*E77</f>
        <v>71.12</v>
      </c>
    </row>
    <row r="78" spans="1:9" s="138" customFormat="1" ht="19.5" customHeight="1">
      <c r="A78" s="151" t="s">
        <v>137</v>
      </c>
      <c r="B78" s="152" t="s">
        <v>261</v>
      </c>
      <c r="C78" s="151" t="s">
        <v>199</v>
      </c>
      <c r="D78" s="151">
        <v>0.4</v>
      </c>
      <c r="E78" s="153">
        <f>0.07*E72</f>
        <v>0.1008</v>
      </c>
      <c r="F78" s="151">
        <v>5</v>
      </c>
      <c r="G78" s="157">
        <f>G72</f>
        <v>15000000</v>
      </c>
      <c r="H78" s="155">
        <f>G78/F78/500</f>
        <v>6000</v>
      </c>
      <c r="I78" s="155">
        <f>H78*E78</f>
        <v>604.8</v>
      </c>
    </row>
    <row r="79" spans="1:9" s="138" customFormat="1" ht="19.5" customHeight="1">
      <c r="A79" s="151" t="s">
        <v>138</v>
      </c>
      <c r="B79" s="152" t="s">
        <v>263</v>
      </c>
      <c r="C79" s="151" t="s">
        <v>199</v>
      </c>
      <c r="D79" s="151">
        <v>1.5</v>
      </c>
      <c r="E79" s="153">
        <f>0.07*E73</f>
        <v>0.0007000000000000001</v>
      </c>
      <c r="F79" s="151">
        <f>F73</f>
        <v>8</v>
      </c>
      <c r="G79" s="157">
        <f>G73</f>
        <v>126000000</v>
      </c>
      <c r="H79" s="155">
        <f>G79/F79/500</f>
        <v>31500</v>
      </c>
      <c r="I79" s="155">
        <f>H79*E79</f>
        <v>22.050000000000004</v>
      </c>
    </row>
    <row r="80" spans="1:9" s="138" customFormat="1" ht="19.5" customHeight="1">
      <c r="A80" s="151" t="s">
        <v>141</v>
      </c>
      <c r="B80" s="152" t="s">
        <v>265</v>
      </c>
      <c r="C80" s="151" t="s">
        <v>199</v>
      </c>
      <c r="D80" s="151">
        <v>0.4</v>
      </c>
      <c r="E80" s="153">
        <f>0.07*E74</f>
        <v>0.0007000000000000001</v>
      </c>
      <c r="F80" s="151">
        <f>F74</f>
        <v>5</v>
      </c>
      <c r="G80" s="157">
        <f>G74</f>
        <v>7200000</v>
      </c>
      <c r="H80" s="155">
        <f>G80/F80/500</f>
        <v>2880</v>
      </c>
      <c r="I80" s="155">
        <f>H80*E80</f>
        <v>2.0160000000000005</v>
      </c>
    </row>
    <row r="81" spans="1:9" s="138" customFormat="1" ht="19.5" customHeight="1">
      <c r="A81" s="151" t="s">
        <v>144</v>
      </c>
      <c r="B81" s="152" t="s">
        <v>229</v>
      </c>
      <c r="C81" s="151" t="s">
        <v>230</v>
      </c>
      <c r="D81" s="151"/>
      <c r="E81" s="153">
        <f>0.07*E75</f>
        <v>0.7637</v>
      </c>
      <c r="F81" s="151"/>
      <c r="G81" s="157">
        <f>G75</f>
        <v>2200</v>
      </c>
      <c r="H81" s="155">
        <f>G81</f>
        <v>2200</v>
      </c>
      <c r="I81" s="155">
        <f>H81*E81</f>
        <v>1680.14</v>
      </c>
    </row>
    <row r="82" spans="1:9" s="150" customFormat="1" ht="19.5" customHeight="1">
      <c r="A82" s="145" t="s">
        <v>15</v>
      </c>
      <c r="B82" s="146" t="s">
        <v>271</v>
      </c>
      <c r="C82" s="145" t="s">
        <v>232</v>
      </c>
      <c r="D82" s="145"/>
      <c r="E82" s="153" t="s">
        <v>278</v>
      </c>
      <c r="F82" s="145"/>
      <c r="G82" s="149"/>
      <c r="H82" s="49"/>
      <c r="I82" s="49">
        <f>SUM(I83:I87)/10</f>
        <v>4250.225</v>
      </c>
    </row>
    <row r="83" spans="1:9" s="138" customFormat="1" ht="19.5" customHeight="1">
      <c r="A83" s="151" t="s">
        <v>42</v>
      </c>
      <c r="B83" s="152" t="s">
        <v>257</v>
      </c>
      <c r="C83" s="151" t="s">
        <v>199</v>
      </c>
      <c r="D83" s="151">
        <v>2.2</v>
      </c>
      <c r="E83" s="153">
        <f>1.25*E71</f>
        <v>0.4</v>
      </c>
      <c r="F83" s="151">
        <f>F77</f>
        <v>8</v>
      </c>
      <c r="G83" s="157">
        <f>G71</f>
        <v>12700000</v>
      </c>
      <c r="H83" s="155">
        <f>G83/F83/500</f>
        <v>3175</v>
      </c>
      <c r="I83" s="155">
        <f>H83*E83</f>
        <v>1270</v>
      </c>
    </row>
    <row r="84" spans="1:9" s="138" customFormat="1" ht="19.5" customHeight="1">
      <c r="A84" s="151" t="s">
        <v>43</v>
      </c>
      <c r="B84" s="152" t="s">
        <v>261</v>
      </c>
      <c r="C84" s="151" t="s">
        <v>199</v>
      </c>
      <c r="D84" s="151">
        <v>0.4</v>
      </c>
      <c r="E84" s="153">
        <f>1.25*E72</f>
        <v>1.7999999999999998</v>
      </c>
      <c r="F84" s="151">
        <v>5</v>
      </c>
      <c r="G84" s="157">
        <f>G72</f>
        <v>15000000</v>
      </c>
      <c r="H84" s="155">
        <f>G84/F84/500</f>
        <v>6000</v>
      </c>
      <c r="I84" s="155">
        <f>H84*E84</f>
        <v>10799.999999999998</v>
      </c>
    </row>
    <row r="85" spans="1:9" s="138" customFormat="1" ht="19.5" customHeight="1">
      <c r="A85" s="151" t="s">
        <v>44</v>
      </c>
      <c r="B85" s="152" t="s">
        <v>263</v>
      </c>
      <c r="C85" s="151" t="s">
        <v>199</v>
      </c>
      <c r="D85" s="151">
        <v>1.5</v>
      </c>
      <c r="E85" s="153">
        <f>1.25*E73</f>
        <v>0.0125</v>
      </c>
      <c r="F85" s="151">
        <f>F79</f>
        <v>8</v>
      </c>
      <c r="G85" s="157">
        <f>G73</f>
        <v>126000000</v>
      </c>
      <c r="H85" s="155">
        <f>G85/F85/500</f>
        <v>31500</v>
      </c>
      <c r="I85" s="155">
        <f>H85*E85</f>
        <v>393.75</v>
      </c>
    </row>
    <row r="86" spans="1:9" s="138" customFormat="1" ht="19.5" customHeight="1">
      <c r="A86" s="151" t="s">
        <v>45</v>
      </c>
      <c r="B86" s="152" t="s">
        <v>265</v>
      </c>
      <c r="C86" s="151" t="s">
        <v>199</v>
      </c>
      <c r="D86" s="151">
        <v>0.4</v>
      </c>
      <c r="E86" s="153">
        <f>1.25*E74</f>
        <v>0.0125</v>
      </c>
      <c r="F86" s="151">
        <f>F80</f>
        <v>5</v>
      </c>
      <c r="G86" s="157">
        <f>G74</f>
        <v>7200000</v>
      </c>
      <c r="H86" s="155">
        <f>G86/F86/500</f>
        <v>2880</v>
      </c>
      <c r="I86" s="155">
        <f>H86*E86</f>
        <v>36</v>
      </c>
    </row>
    <row r="87" spans="1:9" s="138" customFormat="1" ht="19.5" customHeight="1">
      <c r="A87" s="151" t="s">
        <v>46</v>
      </c>
      <c r="B87" s="152" t="s">
        <v>229</v>
      </c>
      <c r="C87" s="151" t="s">
        <v>230</v>
      </c>
      <c r="D87" s="151"/>
      <c r="E87" s="153">
        <f>1.25*E75</f>
        <v>13.6375</v>
      </c>
      <c r="F87" s="151"/>
      <c r="G87" s="157">
        <f>G81</f>
        <v>2200</v>
      </c>
      <c r="H87" s="155">
        <f>G87</f>
        <v>2200</v>
      </c>
      <c r="I87" s="155">
        <f>H87*E87</f>
        <v>30002.5</v>
      </c>
    </row>
    <row r="88" spans="1:9" s="150" customFormat="1" ht="19.5" customHeight="1">
      <c r="A88" s="145" t="s">
        <v>25</v>
      </c>
      <c r="B88" s="146" t="s">
        <v>102</v>
      </c>
      <c r="C88" s="145" t="s">
        <v>233</v>
      </c>
      <c r="D88" s="145"/>
      <c r="E88" s="153" t="s">
        <v>278</v>
      </c>
      <c r="F88" s="145"/>
      <c r="G88" s="149"/>
      <c r="H88" s="49"/>
      <c r="I88" s="49">
        <f>SUM(I89:I93)/10</f>
        <v>4250.225</v>
      </c>
    </row>
    <row r="89" spans="1:9" s="138" customFormat="1" ht="19.5" customHeight="1">
      <c r="A89" s="151" t="s">
        <v>335</v>
      </c>
      <c r="B89" s="152" t="s">
        <v>257</v>
      </c>
      <c r="C89" s="151" t="s">
        <v>199</v>
      </c>
      <c r="D89" s="151">
        <v>2.2</v>
      </c>
      <c r="E89" s="153">
        <f>1.25*E71</f>
        <v>0.4</v>
      </c>
      <c r="F89" s="151">
        <f>F83</f>
        <v>8</v>
      </c>
      <c r="G89" s="157">
        <f>G77</f>
        <v>12700000</v>
      </c>
      <c r="H89" s="155">
        <f>G89/F89/500</f>
        <v>3175</v>
      </c>
      <c r="I89" s="155">
        <f>H89*E89</f>
        <v>1270</v>
      </c>
    </row>
    <row r="90" spans="1:9" s="138" customFormat="1" ht="19.5" customHeight="1">
      <c r="A90" s="151" t="s">
        <v>336</v>
      </c>
      <c r="B90" s="152" t="s">
        <v>261</v>
      </c>
      <c r="C90" s="151" t="s">
        <v>199</v>
      </c>
      <c r="D90" s="151">
        <v>0.4</v>
      </c>
      <c r="E90" s="153">
        <f>1.25*E72</f>
        <v>1.7999999999999998</v>
      </c>
      <c r="F90" s="151">
        <v>5</v>
      </c>
      <c r="G90" s="157">
        <f>G78</f>
        <v>15000000</v>
      </c>
      <c r="H90" s="155">
        <f>G90/F90/500</f>
        <v>6000</v>
      </c>
      <c r="I90" s="155">
        <f>H90*E90</f>
        <v>10799.999999999998</v>
      </c>
    </row>
    <row r="91" spans="1:9" s="138" customFormat="1" ht="19.5" customHeight="1">
      <c r="A91" s="151" t="s">
        <v>337</v>
      </c>
      <c r="B91" s="152" t="s">
        <v>263</v>
      </c>
      <c r="C91" s="151" t="s">
        <v>199</v>
      </c>
      <c r="D91" s="151">
        <v>1.5</v>
      </c>
      <c r="E91" s="153">
        <f>1.25*E73</f>
        <v>0.0125</v>
      </c>
      <c r="F91" s="151">
        <f>F85</f>
        <v>8</v>
      </c>
      <c r="G91" s="157">
        <f>G79</f>
        <v>126000000</v>
      </c>
      <c r="H91" s="155">
        <f>G91/F91/500</f>
        <v>31500</v>
      </c>
      <c r="I91" s="155">
        <f>H91*E91</f>
        <v>393.75</v>
      </c>
    </row>
    <row r="92" spans="1:9" s="138" customFormat="1" ht="19.5" customHeight="1">
      <c r="A92" s="151" t="s">
        <v>338</v>
      </c>
      <c r="B92" s="152" t="s">
        <v>265</v>
      </c>
      <c r="C92" s="151" t="s">
        <v>199</v>
      </c>
      <c r="D92" s="151">
        <v>0.4</v>
      </c>
      <c r="E92" s="153">
        <f>1.25*E74</f>
        <v>0.0125</v>
      </c>
      <c r="F92" s="151">
        <f>F86</f>
        <v>5</v>
      </c>
      <c r="G92" s="157">
        <f>G80</f>
        <v>7200000</v>
      </c>
      <c r="H92" s="155">
        <f>G92/F92/500</f>
        <v>2880</v>
      </c>
      <c r="I92" s="155">
        <f>H92*E92</f>
        <v>36</v>
      </c>
    </row>
    <row r="93" spans="1:9" s="138" customFormat="1" ht="19.5" customHeight="1">
      <c r="A93" s="151" t="s">
        <v>339</v>
      </c>
      <c r="B93" s="152" t="s">
        <v>229</v>
      </c>
      <c r="C93" s="151" t="s">
        <v>230</v>
      </c>
      <c r="D93" s="151"/>
      <c r="E93" s="153">
        <f>1.25*E75</f>
        <v>13.6375</v>
      </c>
      <c r="F93" s="151"/>
      <c r="G93" s="157">
        <f>G87</f>
        <v>2200</v>
      </c>
      <c r="H93" s="155">
        <f>G93</f>
        <v>2200</v>
      </c>
      <c r="I93" s="155">
        <f>H93*E93</f>
        <v>30002.5</v>
      </c>
    </row>
    <row r="94" spans="1:9" s="150" customFormat="1" ht="19.5" customHeight="1">
      <c r="A94" s="145" t="s">
        <v>47</v>
      </c>
      <c r="B94" s="146" t="s">
        <v>90</v>
      </c>
      <c r="C94" s="145" t="s">
        <v>234</v>
      </c>
      <c r="D94" s="145"/>
      <c r="E94" s="153" t="s">
        <v>279</v>
      </c>
      <c r="F94" s="145"/>
      <c r="G94" s="149"/>
      <c r="H94" s="49"/>
      <c r="I94" s="49">
        <f>SUM(I95:I99)/10</f>
        <v>10608.5616</v>
      </c>
    </row>
    <row r="95" spans="1:9" s="138" customFormat="1" ht="19.5" customHeight="1">
      <c r="A95" s="151" t="s">
        <v>48</v>
      </c>
      <c r="B95" s="152" t="s">
        <v>257</v>
      </c>
      <c r="C95" s="151" t="s">
        <v>199</v>
      </c>
      <c r="D95" s="151">
        <v>2.2</v>
      </c>
      <c r="E95" s="153">
        <f>3.12*E71</f>
        <v>0.9984000000000001</v>
      </c>
      <c r="F95" s="151">
        <f>$F$89</f>
        <v>8</v>
      </c>
      <c r="G95" s="157">
        <f>G83</f>
        <v>12700000</v>
      </c>
      <c r="H95" s="155">
        <f>G95/F95/500</f>
        <v>3175</v>
      </c>
      <c r="I95" s="155">
        <f>H95*E95</f>
        <v>3169.92</v>
      </c>
    </row>
    <row r="96" spans="1:9" s="138" customFormat="1" ht="19.5" customHeight="1">
      <c r="A96" s="151" t="s">
        <v>49</v>
      </c>
      <c r="B96" s="152" t="s">
        <v>261</v>
      </c>
      <c r="C96" s="151" t="s">
        <v>199</v>
      </c>
      <c r="D96" s="151">
        <v>0.4</v>
      </c>
      <c r="E96" s="153">
        <f>3.12*E72</f>
        <v>4.4928</v>
      </c>
      <c r="F96" s="151">
        <v>5</v>
      </c>
      <c r="G96" s="157">
        <f>G84</f>
        <v>15000000</v>
      </c>
      <c r="H96" s="155">
        <f>G96/F96/500</f>
        <v>6000</v>
      </c>
      <c r="I96" s="155">
        <f>H96*E96</f>
        <v>26956.8</v>
      </c>
    </row>
    <row r="97" spans="1:9" s="138" customFormat="1" ht="19.5" customHeight="1">
      <c r="A97" s="151" t="s">
        <v>51</v>
      </c>
      <c r="B97" s="152" t="s">
        <v>263</v>
      </c>
      <c r="C97" s="151" t="s">
        <v>199</v>
      </c>
      <c r="D97" s="151">
        <v>1.5</v>
      </c>
      <c r="E97" s="153">
        <f>3.12*E73</f>
        <v>0.031200000000000002</v>
      </c>
      <c r="F97" s="151">
        <f>F91</f>
        <v>8</v>
      </c>
      <c r="G97" s="157">
        <f>G85</f>
        <v>126000000</v>
      </c>
      <c r="H97" s="155">
        <f>G97/F97/500</f>
        <v>31500</v>
      </c>
      <c r="I97" s="155">
        <f>H97*E97</f>
        <v>982.8000000000001</v>
      </c>
    </row>
    <row r="98" spans="1:9" s="138" customFormat="1" ht="19.5" customHeight="1">
      <c r="A98" s="151" t="s">
        <v>52</v>
      </c>
      <c r="B98" s="152" t="s">
        <v>265</v>
      </c>
      <c r="C98" s="151" t="s">
        <v>199</v>
      </c>
      <c r="D98" s="151">
        <v>0.4</v>
      </c>
      <c r="E98" s="153">
        <f>3.12*E74</f>
        <v>0.031200000000000002</v>
      </c>
      <c r="F98" s="151">
        <f>$F$92</f>
        <v>5</v>
      </c>
      <c r="G98" s="157">
        <f>G86</f>
        <v>7200000</v>
      </c>
      <c r="H98" s="155">
        <f>G98/F98/500</f>
        <v>2880</v>
      </c>
      <c r="I98" s="155">
        <f>H98*E98</f>
        <v>89.85600000000001</v>
      </c>
    </row>
    <row r="99" spans="1:9" s="138" customFormat="1" ht="19.5" customHeight="1">
      <c r="A99" s="151" t="s">
        <v>340</v>
      </c>
      <c r="B99" s="152" t="s">
        <v>229</v>
      </c>
      <c r="C99" s="151" t="s">
        <v>230</v>
      </c>
      <c r="D99" s="151"/>
      <c r="E99" s="153">
        <f>3.12*E75</f>
        <v>34.0392</v>
      </c>
      <c r="F99" s="151"/>
      <c r="G99" s="157">
        <f>G93</f>
        <v>2200</v>
      </c>
      <c r="H99" s="155">
        <f>G99</f>
        <v>2200</v>
      </c>
      <c r="I99" s="155">
        <f>H99*E99</f>
        <v>74886.24</v>
      </c>
    </row>
    <row r="100" spans="1:9" s="150" customFormat="1" ht="19.5" customHeight="1">
      <c r="A100" s="145" t="s">
        <v>53</v>
      </c>
      <c r="B100" s="146" t="s">
        <v>92</v>
      </c>
      <c r="C100" s="145" t="s">
        <v>235</v>
      </c>
      <c r="D100" s="147"/>
      <c r="E100" s="153" t="s">
        <v>278</v>
      </c>
      <c r="F100" s="145"/>
      <c r="G100" s="149"/>
      <c r="H100" s="49"/>
      <c r="I100" s="49">
        <f>SUM(I101:I105)/10</f>
        <v>4250.225</v>
      </c>
    </row>
    <row r="101" spans="1:9" s="138" customFormat="1" ht="19.5" customHeight="1">
      <c r="A101" s="151" t="s">
        <v>341</v>
      </c>
      <c r="B101" s="152" t="s">
        <v>257</v>
      </c>
      <c r="C101" s="151" t="s">
        <v>199</v>
      </c>
      <c r="D101" s="151">
        <v>2.2</v>
      </c>
      <c r="E101" s="153">
        <f>E71*1.25</f>
        <v>0.4</v>
      </c>
      <c r="F101" s="151">
        <f>F95</f>
        <v>8</v>
      </c>
      <c r="G101" s="157">
        <f>G89</f>
        <v>12700000</v>
      </c>
      <c r="H101" s="155">
        <f>G101/F101/500</f>
        <v>3175</v>
      </c>
      <c r="I101" s="155">
        <f>H101*E101</f>
        <v>1270</v>
      </c>
    </row>
    <row r="102" spans="1:9" s="138" customFormat="1" ht="19.5" customHeight="1">
      <c r="A102" s="151" t="s">
        <v>342</v>
      </c>
      <c r="B102" s="152" t="s">
        <v>261</v>
      </c>
      <c r="C102" s="151" t="s">
        <v>199</v>
      </c>
      <c r="D102" s="151">
        <v>0.4</v>
      </c>
      <c r="E102" s="153">
        <f>E72*1.25</f>
        <v>1.7999999999999998</v>
      </c>
      <c r="F102" s="151">
        <v>5</v>
      </c>
      <c r="G102" s="157">
        <f>G90</f>
        <v>15000000</v>
      </c>
      <c r="H102" s="155">
        <f>G102/F102/500</f>
        <v>6000</v>
      </c>
      <c r="I102" s="155">
        <f>H102*E102</f>
        <v>10799.999999999998</v>
      </c>
    </row>
    <row r="103" spans="1:9" s="138" customFormat="1" ht="19.5" customHeight="1">
      <c r="A103" s="151" t="s">
        <v>343</v>
      </c>
      <c r="B103" s="152" t="s">
        <v>263</v>
      </c>
      <c r="C103" s="151" t="s">
        <v>199</v>
      </c>
      <c r="D103" s="151">
        <v>1.5</v>
      </c>
      <c r="E103" s="153">
        <f>E73*1.25</f>
        <v>0.0125</v>
      </c>
      <c r="F103" s="151">
        <f>F97</f>
        <v>8</v>
      </c>
      <c r="G103" s="157">
        <f>G91</f>
        <v>126000000</v>
      </c>
      <c r="H103" s="155">
        <f>G103/F103/500</f>
        <v>31500</v>
      </c>
      <c r="I103" s="155">
        <f>H103*E103</f>
        <v>393.75</v>
      </c>
    </row>
    <row r="104" spans="1:9" s="138" customFormat="1" ht="19.5" customHeight="1">
      <c r="A104" s="151" t="s">
        <v>344</v>
      </c>
      <c r="B104" s="152" t="s">
        <v>265</v>
      </c>
      <c r="C104" s="151" t="s">
        <v>199</v>
      </c>
      <c r="D104" s="151">
        <v>0.4</v>
      </c>
      <c r="E104" s="153">
        <f>E74*1.25</f>
        <v>0.0125</v>
      </c>
      <c r="F104" s="151">
        <f>F98</f>
        <v>5</v>
      </c>
      <c r="G104" s="157">
        <f>G92</f>
        <v>7200000</v>
      </c>
      <c r="H104" s="155">
        <f>G104/F104/500</f>
        <v>2880</v>
      </c>
      <c r="I104" s="155">
        <f>H104*E104</f>
        <v>36</v>
      </c>
    </row>
    <row r="105" spans="1:9" s="138" customFormat="1" ht="19.5" customHeight="1">
      <c r="A105" s="151" t="s">
        <v>345</v>
      </c>
      <c r="B105" s="152" t="s">
        <v>229</v>
      </c>
      <c r="C105" s="151" t="s">
        <v>230</v>
      </c>
      <c r="D105" s="151"/>
      <c r="E105" s="153">
        <f>E75*1.25</f>
        <v>13.6375</v>
      </c>
      <c r="F105" s="151"/>
      <c r="G105" s="157">
        <f>G99</f>
        <v>2200</v>
      </c>
      <c r="H105" s="155">
        <f>G105</f>
        <v>2200</v>
      </c>
      <c r="I105" s="155">
        <f>H105*E105</f>
        <v>30002.5</v>
      </c>
    </row>
    <row r="106" spans="1:9" s="150" customFormat="1" ht="19.5" customHeight="1">
      <c r="A106" s="145" t="s">
        <v>54</v>
      </c>
      <c r="B106" s="146" t="s">
        <v>275</v>
      </c>
      <c r="C106" s="145" t="s">
        <v>236</v>
      </c>
      <c r="D106" s="147"/>
      <c r="E106" s="153" t="s">
        <v>280</v>
      </c>
      <c r="F106" s="145"/>
      <c r="G106" s="149"/>
      <c r="H106" s="49"/>
      <c r="I106" s="49">
        <f>SUM(I107:I111)/10</f>
        <v>850.0450000000001</v>
      </c>
    </row>
    <row r="107" spans="1:9" s="138" customFormat="1" ht="19.5" customHeight="1">
      <c r="A107" s="151" t="s">
        <v>55</v>
      </c>
      <c r="B107" s="152" t="s">
        <v>257</v>
      </c>
      <c r="C107" s="151" t="s">
        <v>199</v>
      </c>
      <c r="D107" s="151">
        <v>2.2</v>
      </c>
      <c r="E107" s="153">
        <f>E71*0.25</f>
        <v>0.08</v>
      </c>
      <c r="F107" s="151">
        <f>F101</f>
        <v>8</v>
      </c>
      <c r="G107" s="157">
        <f>G95</f>
        <v>12700000</v>
      </c>
      <c r="H107" s="155">
        <f>G107/F107/500</f>
        <v>3175</v>
      </c>
      <c r="I107" s="155">
        <f>H107*E107</f>
        <v>254</v>
      </c>
    </row>
    <row r="108" spans="1:9" s="138" customFormat="1" ht="19.5" customHeight="1">
      <c r="A108" s="151" t="s">
        <v>56</v>
      </c>
      <c r="B108" s="152" t="s">
        <v>261</v>
      </c>
      <c r="C108" s="151" t="s">
        <v>199</v>
      </c>
      <c r="D108" s="151">
        <v>0.4</v>
      </c>
      <c r="E108" s="153">
        <f>E72*0.25</f>
        <v>0.36</v>
      </c>
      <c r="F108" s="151">
        <v>5</v>
      </c>
      <c r="G108" s="157">
        <f>G96</f>
        <v>15000000</v>
      </c>
      <c r="H108" s="155">
        <f>G108/F108/500</f>
        <v>6000</v>
      </c>
      <c r="I108" s="155">
        <f>H108*E108</f>
        <v>2160</v>
      </c>
    </row>
    <row r="109" spans="1:9" s="138" customFormat="1" ht="19.5" customHeight="1">
      <c r="A109" s="151" t="s">
        <v>57</v>
      </c>
      <c r="B109" s="152" t="s">
        <v>263</v>
      </c>
      <c r="C109" s="151" t="s">
        <v>199</v>
      </c>
      <c r="D109" s="151">
        <v>1.5</v>
      </c>
      <c r="E109" s="153">
        <f>E73*0.25</f>
        <v>0.0025</v>
      </c>
      <c r="F109" s="151">
        <f>F103</f>
        <v>8</v>
      </c>
      <c r="G109" s="157">
        <f>G97</f>
        <v>126000000</v>
      </c>
      <c r="H109" s="155">
        <f>G109/F109/500</f>
        <v>31500</v>
      </c>
      <c r="I109" s="155">
        <f>H109*E109</f>
        <v>78.75</v>
      </c>
    </row>
    <row r="110" spans="1:9" s="138" customFormat="1" ht="19.5" customHeight="1">
      <c r="A110" s="151" t="s">
        <v>346</v>
      </c>
      <c r="B110" s="152" t="s">
        <v>265</v>
      </c>
      <c r="C110" s="151" t="s">
        <v>199</v>
      </c>
      <c r="D110" s="151">
        <v>0.4</v>
      </c>
      <c r="E110" s="153">
        <f>E74*0.25</f>
        <v>0.0025</v>
      </c>
      <c r="F110" s="151">
        <f>F104</f>
        <v>5</v>
      </c>
      <c r="G110" s="157">
        <f>G98</f>
        <v>7200000</v>
      </c>
      <c r="H110" s="155">
        <f>G110/F110/500</f>
        <v>2880</v>
      </c>
      <c r="I110" s="155">
        <f>H110*E110</f>
        <v>7.2</v>
      </c>
    </row>
    <row r="111" spans="1:9" s="138" customFormat="1" ht="19.5" customHeight="1">
      <c r="A111" s="151" t="s">
        <v>347</v>
      </c>
      <c r="B111" s="152" t="s">
        <v>229</v>
      </c>
      <c r="C111" s="151" t="s">
        <v>230</v>
      </c>
      <c r="D111" s="151"/>
      <c r="E111" s="153">
        <f>E75*0.25</f>
        <v>2.7275</v>
      </c>
      <c r="F111" s="151"/>
      <c r="G111" s="157">
        <f>G105</f>
        <v>2200</v>
      </c>
      <c r="H111" s="155">
        <f>G111</f>
        <v>2200</v>
      </c>
      <c r="I111" s="155">
        <f>H111*E111</f>
        <v>6000.5</v>
      </c>
    </row>
    <row r="112" spans="1:9" s="150" customFormat="1" ht="19.5" customHeight="1">
      <c r="A112" s="145" t="s">
        <v>99</v>
      </c>
      <c r="B112" s="146" t="s">
        <v>96</v>
      </c>
      <c r="C112" s="145" t="s">
        <v>236</v>
      </c>
      <c r="D112" s="147"/>
      <c r="E112" s="153" t="s">
        <v>280</v>
      </c>
      <c r="F112" s="145"/>
      <c r="G112" s="149"/>
      <c r="H112" s="49"/>
      <c r="I112" s="49">
        <f>SUM(I113:I117)/10</f>
        <v>850.0450000000001</v>
      </c>
    </row>
    <row r="113" spans="1:9" s="138" customFormat="1" ht="19.5" customHeight="1">
      <c r="A113" s="151" t="s">
        <v>348</v>
      </c>
      <c r="B113" s="152" t="s">
        <v>257</v>
      </c>
      <c r="C113" s="151" t="s">
        <v>199</v>
      </c>
      <c r="D113" s="151">
        <v>2.2</v>
      </c>
      <c r="E113" s="153">
        <f>0.25*E71</f>
        <v>0.08</v>
      </c>
      <c r="F113" s="151">
        <f>F107</f>
        <v>8</v>
      </c>
      <c r="G113" s="157">
        <f>G101</f>
        <v>12700000</v>
      </c>
      <c r="H113" s="155">
        <f>G113/F113/500</f>
        <v>3175</v>
      </c>
      <c r="I113" s="155">
        <f>H113*E113</f>
        <v>254</v>
      </c>
    </row>
    <row r="114" spans="1:9" s="138" customFormat="1" ht="19.5" customHeight="1">
      <c r="A114" s="151" t="s">
        <v>349</v>
      </c>
      <c r="B114" s="152" t="s">
        <v>261</v>
      </c>
      <c r="C114" s="151" t="s">
        <v>199</v>
      </c>
      <c r="D114" s="151">
        <v>0.4</v>
      </c>
      <c r="E114" s="153">
        <f>0.25*E72</f>
        <v>0.36</v>
      </c>
      <c r="F114" s="151">
        <v>5</v>
      </c>
      <c r="G114" s="157">
        <f>G102</f>
        <v>15000000</v>
      </c>
      <c r="H114" s="155">
        <f>G114/F114/500</f>
        <v>6000</v>
      </c>
      <c r="I114" s="155">
        <f>H114*E114</f>
        <v>2160</v>
      </c>
    </row>
    <row r="115" spans="1:9" s="138" customFormat="1" ht="19.5" customHeight="1">
      <c r="A115" s="151" t="s">
        <v>350</v>
      </c>
      <c r="B115" s="152" t="s">
        <v>263</v>
      </c>
      <c r="C115" s="151" t="s">
        <v>199</v>
      </c>
      <c r="D115" s="151">
        <v>1.5</v>
      </c>
      <c r="E115" s="153">
        <f>0.25*E73</f>
        <v>0.0025</v>
      </c>
      <c r="F115" s="151">
        <f>F109</f>
        <v>8</v>
      </c>
      <c r="G115" s="157">
        <f>G103</f>
        <v>126000000</v>
      </c>
      <c r="H115" s="155">
        <f>G115/F115/500</f>
        <v>31500</v>
      </c>
      <c r="I115" s="155">
        <f>H115*E115</f>
        <v>78.75</v>
      </c>
    </row>
    <row r="116" spans="1:9" s="138" customFormat="1" ht="19.5" customHeight="1">
      <c r="A116" s="151" t="s">
        <v>351</v>
      </c>
      <c r="B116" s="152" t="s">
        <v>265</v>
      </c>
      <c r="C116" s="151" t="s">
        <v>199</v>
      </c>
      <c r="D116" s="151">
        <v>0.4</v>
      </c>
      <c r="E116" s="153">
        <f>0.25*E74</f>
        <v>0.0025</v>
      </c>
      <c r="F116" s="151">
        <f>F110</f>
        <v>5</v>
      </c>
      <c r="G116" s="157">
        <f>G104</f>
        <v>7200000</v>
      </c>
      <c r="H116" s="155">
        <f>G116/F116/500</f>
        <v>2880</v>
      </c>
      <c r="I116" s="155">
        <f>H116*E116</f>
        <v>7.2</v>
      </c>
    </row>
    <row r="117" spans="1:9" s="138" customFormat="1" ht="19.5" customHeight="1">
      <c r="A117" s="151" t="s">
        <v>352</v>
      </c>
      <c r="B117" s="152" t="s">
        <v>229</v>
      </c>
      <c r="C117" s="151" t="s">
        <v>230</v>
      </c>
      <c r="D117" s="151"/>
      <c r="E117" s="153">
        <f>0.25*E75</f>
        <v>2.7275</v>
      </c>
      <c r="F117" s="151"/>
      <c r="G117" s="157">
        <f>G111</f>
        <v>2200</v>
      </c>
      <c r="H117" s="155">
        <f>G117</f>
        <v>2200</v>
      </c>
      <c r="I117" s="155">
        <f>H117*E117</f>
        <v>6000.5</v>
      </c>
    </row>
    <row r="118" spans="1:9" s="144" customFormat="1" ht="19.5" customHeight="1">
      <c r="A118" s="158">
        <v>3</v>
      </c>
      <c r="B118" s="159" t="s">
        <v>237</v>
      </c>
      <c r="C118" s="158"/>
      <c r="D118" s="158"/>
      <c r="E118" s="160"/>
      <c r="F118" s="158"/>
      <c r="G118" s="161"/>
      <c r="H118" s="162"/>
      <c r="I118" s="182">
        <f>I119+I125+I131+I137+I143+I149+I155+I161</f>
        <v>9111.69</v>
      </c>
    </row>
    <row r="119" spans="1:9" s="150" customFormat="1" ht="19.5" customHeight="1">
      <c r="A119" s="145" t="s">
        <v>19</v>
      </c>
      <c r="B119" s="146" t="s">
        <v>281</v>
      </c>
      <c r="C119" s="145" t="s">
        <v>231</v>
      </c>
      <c r="D119" s="147"/>
      <c r="E119" s="148"/>
      <c r="F119" s="147"/>
      <c r="G119" s="149"/>
      <c r="H119" s="49"/>
      <c r="I119" s="49">
        <f>SUM(I120:I124)/10</f>
        <v>506.20500000000004</v>
      </c>
    </row>
    <row r="120" spans="1:9" s="138" customFormat="1" ht="19.5" customHeight="1">
      <c r="A120" s="151" t="s">
        <v>58</v>
      </c>
      <c r="B120" s="152" t="s">
        <v>257</v>
      </c>
      <c r="C120" s="151" t="s">
        <v>199</v>
      </c>
      <c r="D120" s="151">
        <v>2.2</v>
      </c>
      <c r="E120" s="153">
        <v>0.07</v>
      </c>
      <c r="F120" s="151">
        <f>F113</f>
        <v>8</v>
      </c>
      <c r="G120" s="157">
        <f>G113</f>
        <v>12700000</v>
      </c>
      <c r="H120" s="155">
        <f>G120/F120/500</f>
        <v>3175</v>
      </c>
      <c r="I120" s="155">
        <f>H120*E120</f>
        <v>222.25000000000003</v>
      </c>
    </row>
    <row r="121" spans="1:9" s="138" customFormat="1" ht="19.5" customHeight="1">
      <c r="A121" s="151" t="s">
        <v>59</v>
      </c>
      <c r="B121" s="152" t="s">
        <v>261</v>
      </c>
      <c r="C121" s="151" t="s">
        <v>199</v>
      </c>
      <c r="D121" s="151">
        <v>0.4</v>
      </c>
      <c r="E121" s="153">
        <v>0.01</v>
      </c>
      <c r="F121" s="151">
        <v>5</v>
      </c>
      <c r="G121" s="157">
        <f>G114</f>
        <v>15000000</v>
      </c>
      <c r="H121" s="155">
        <f>G121/F121/500</f>
        <v>6000</v>
      </c>
      <c r="I121" s="155">
        <f>H121*E121</f>
        <v>60</v>
      </c>
    </row>
    <row r="122" spans="1:9" s="138" customFormat="1" ht="19.5" customHeight="1">
      <c r="A122" s="151" t="s">
        <v>60</v>
      </c>
      <c r="B122" s="152" t="s">
        <v>263</v>
      </c>
      <c r="C122" s="151" t="s">
        <v>199</v>
      </c>
      <c r="D122" s="151">
        <v>1.5</v>
      </c>
      <c r="E122" s="153">
        <v>0.03</v>
      </c>
      <c r="F122" s="151">
        <f>F115</f>
        <v>8</v>
      </c>
      <c r="G122" s="157">
        <f>G115</f>
        <v>126000000</v>
      </c>
      <c r="H122" s="155">
        <f>G122/F122/500</f>
        <v>31500</v>
      </c>
      <c r="I122" s="155">
        <f>H122*E122</f>
        <v>945</v>
      </c>
    </row>
    <row r="123" spans="1:9" s="138" customFormat="1" ht="19.5" customHeight="1">
      <c r="A123" s="151" t="s">
        <v>61</v>
      </c>
      <c r="B123" s="152" t="s">
        <v>265</v>
      </c>
      <c r="C123" s="151" t="s">
        <v>199</v>
      </c>
      <c r="D123" s="151">
        <v>0.4</v>
      </c>
      <c r="E123" s="153">
        <v>0.01</v>
      </c>
      <c r="F123" s="151">
        <f>F116</f>
        <v>5</v>
      </c>
      <c r="G123" s="157">
        <f>G116</f>
        <v>7200000</v>
      </c>
      <c r="H123" s="155">
        <f>G123/F123/500</f>
        <v>2880</v>
      </c>
      <c r="I123" s="155">
        <f>H123*E123</f>
        <v>28.8</v>
      </c>
    </row>
    <row r="124" spans="1:9" s="138" customFormat="1" ht="19.5" customHeight="1">
      <c r="A124" s="151" t="s">
        <v>62</v>
      </c>
      <c r="B124" s="152" t="s">
        <v>229</v>
      </c>
      <c r="C124" s="151" t="s">
        <v>230</v>
      </c>
      <c r="D124" s="151"/>
      <c r="E124" s="153">
        <v>1.73</v>
      </c>
      <c r="F124" s="151"/>
      <c r="G124" s="157">
        <f>G117</f>
        <v>2200</v>
      </c>
      <c r="H124" s="155">
        <f>G124</f>
        <v>2200</v>
      </c>
      <c r="I124" s="155">
        <f>H124*E124</f>
        <v>3806</v>
      </c>
    </row>
    <row r="125" spans="1:9" s="150" customFormat="1" ht="19.5" customHeight="1">
      <c r="A125" s="145" t="s">
        <v>20</v>
      </c>
      <c r="B125" s="146" t="s">
        <v>269</v>
      </c>
      <c r="C125" s="145" t="s">
        <v>231</v>
      </c>
      <c r="D125" s="147"/>
      <c r="E125" s="153" t="s">
        <v>282</v>
      </c>
      <c r="F125" s="145"/>
      <c r="G125" s="149"/>
      <c r="H125" s="49"/>
      <c r="I125" s="49">
        <f>SUM(I126:I130)/10</f>
        <v>506.20500000000004</v>
      </c>
    </row>
    <row r="126" spans="1:9" s="138" customFormat="1" ht="19.5" customHeight="1">
      <c r="A126" s="151" t="s">
        <v>63</v>
      </c>
      <c r="B126" s="152" t="s">
        <v>257</v>
      </c>
      <c r="C126" s="151" t="s">
        <v>199</v>
      </c>
      <c r="D126" s="151">
        <v>2.2</v>
      </c>
      <c r="E126" s="153">
        <f>E120</f>
        <v>0.07</v>
      </c>
      <c r="F126" s="151">
        <f>F120</f>
        <v>8</v>
      </c>
      <c r="G126" s="157">
        <f>G120</f>
        <v>12700000</v>
      </c>
      <c r="H126" s="155">
        <f>G126/F126/500</f>
        <v>3175</v>
      </c>
      <c r="I126" s="155">
        <f>H126*E126</f>
        <v>222.25000000000003</v>
      </c>
    </row>
    <row r="127" spans="1:9" s="138" customFormat="1" ht="19.5" customHeight="1">
      <c r="A127" s="151" t="s">
        <v>64</v>
      </c>
      <c r="B127" s="152" t="s">
        <v>261</v>
      </c>
      <c r="C127" s="151" t="s">
        <v>199</v>
      </c>
      <c r="D127" s="151">
        <v>0.4</v>
      </c>
      <c r="E127" s="153">
        <f>E121</f>
        <v>0.01</v>
      </c>
      <c r="F127" s="151">
        <v>5</v>
      </c>
      <c r="G127" s="157">
        <f>G121</f>
        <v>15000000</v>
      </c>
      <c r="H127" s="155">
        <f>G127/F127/500</f>
        <v>6000</v>
      </c>
      <c r="I127" s="155">
        <f>H127*E127</f>
        <v>60</v>
      </c>
    </row>
    <row r="128" spans="1:9" s="138" customFormat="1" ht="19.5" customHeight="1">
      <c r="A128" s="151" t="s">
        <v>65</v>
      </c>
      <c r="B128" s="152" t="s">
        <v>263</v>
      </c>
      <c r="C128" s="151" t="s">
        <v>199</v>
      </c>
      <c r="D128" s="151">
        <v>1.5</v>
      </c>
      <c r="E128" s="153">
        <f>E122</f>
        <v>0.03</v>
      </c>
      <c r="F128" s="151">
        <f>F122</f>
        <v>8</v>
      </c>
      <c r="G128" s="157">
        <f>G122</f>
        <v>126000000</v>
      </c>
      <c r="H128" s="155">
        <f>G128/F128/500</f>
        <v>31500</v>
      </c>
      <c r="I128" s="155">
        <f>H128*E128</f>
        <v>945</v>
      </c>
    </row>
    <row r="129" spans="1:9" s="138" customFormat="1" ht="19.5" customHeight="1">
      <c r="A129" s="151" t="s">
        <v>66</v>
      </c>
      <c r="B129" s="152" t="s">
        <v>265</v>
      </c>
      <c r="C129" s="151" t="s">
        <v>199</v>
      </c>
      <c r="D129" s="151">
        <v>0.4</v>
      </c>
      <c r="E129" s="153">
        <f>E123</f>
        <v>0.01</v>
      </c>
      <c r="F129" s="151">
        <f>F123</f>
        <v>5</v>
      </c>
      <c r="G129" s="157">
        <f>G123</f>
        <v>7200000</v>
      </c>
      <c r="H129" s="155">
        <f>G129/F129/500</f>
        <v>2880</v>
      </c>
      <c r="I129" s="155">
        <f>H129*E129</f>
        <v>28.8</v>
      </c>
    </row>
    <row r="130" spans="1:9" s="138" customFormat="1" ht="19.5" customHeight="1">
      <c r="A130" s="151" t="s">
        <v>67</v>
      </c>
      <c r="B130" s="152" t="s">
        <v>229</v>
      </c>
      <c r="C130" s="151" t="s">
        <v>230</v>
      </c>
      <c r="D130" s="151"/>
      <c r="E130" s="153">
        <f>E124</f>
        <v>1.73</v>
      </c>
      <c r="F130" s="151"/>
      <c r="G130" s="157">
        <f>G124</f>
        <v>2200</v>
      </c>
      <c r="H130" s="155">
        <f>G130</f>
        <v>2200</v>
      </c>
      <c r="I130" s="155">
        <f>H130*E130</f>
        <v>3806</v>
      </c>
    </row>
    <row r="131" spans="1:9" s="150" customFormat="1" ht="19.5" customHeight="1">
      <c r="A131" s="145" t="s">
        <v>101</v>
      </c>
      <c r="B131" s="146" t="s">
        <v>271</v>
      </c>
      <c r="C131" s="145" t="s">
        <v>232</v>
      </c>
      <c r="D131" s="145"/>
      <c r="E131" s="153" t="s">
        <v>282</v>
      </c>
      <c r="F131" s="145"/>
      <c r="G131" s="149"/>
      <c r="H131" s="49"/>
      <c r="I131" s="49">
        <f>SUM(I132:I136)/10</f>
        <v>506.20500000000004</v>
      </c>
    </row>
    <row r="132" spans="1:9" s="138" customFormat="1" ht="19.5" customHeight="1">
      <c r="A132" s="151" t="s">
        <v>353</v>
      </c>
      <c r="B132" s="152" t="s">
        <v>257</v>
      </c>
      <c r="C132" s="151" t="s">
        <v>199</v>
      </c>
      <c r="D132" s="151">
        <v>2.2</v>
      </c>
      <c r="E132" s="153">
        <f>E120</f>
        <v>0.07</v>
      </c>
      <c r="F132" s="151">
        <f>F126</f>
        <v>8</v>
      </c>
      <c r="G132" s="157">
        <f>G126</f>
        <v>12700000</v>
      </c>
      <c r="H132" s="155">
        <f>G132/F132/500</f>
        <v>3175</v>
      </c>
      <c r="I132" s="155">
        <f>H132*E132</f>
        <v>222.25000000000003</v>
      </c>
    </row>
    <row r="133" spans="1:9" s="138" customFormat="1" ht="19.5" customHeight="1">
      <c r="A133" s="151" t="s">
        <v>354</v>
      </c>
      <c r="B133" s="152" t="s">
        <v>261</v>
      </c>
      <c r="C133" s="151" t="s">
        <v>199</v>
      </c>
      <c r="D133" s="151">
        <v>0.4</v>
      </c>
      <c r="E133" s="153">
        <f>E121</f>
        <v>0.01</v>
      </c>
      <c r="F133" s="151">
        <v>5</v>
      </c>
      <c r="G133" s="157">
        <f>G127</f>
        <v>15000000</v>
      </c>
      <c r="H133" s="155">
        <f>G133/F133/500</f>
        <v>6000</v>
      </c>
      <c r="I133" s="155">
        <f>H133*E133</f>
        <v>60</v>
      </c>
    </row>
    <row r="134" spans="1:9" s="138" customFormat="1" ht="19.5" customHeight="1">
      <c r="A134" s="151" t="s">
        <v>355</v>
      </c>
      <c r="B134" s="152" t="s">
        <v>263</v>
      </c>
      <c r="C134" s="151" t="s">
        <v>199</v>
      </c>
      <c r="D134" s="151">
        <v>1.5</v>
      </c>
      <c r="E134" s="153">
        <f>E122</f>
        <v>0.03</v>
      </c>
      <c r="F134" s="151">
        <f>F128</f>
        <v>8</v>
      </c>
      <c r="G134" s="157">
        <f>G128</f>
        <v>126000000</v>
      </c>
      <c r="H134" s="155">
        <f>G134/F134/500</f>
        <v>31500</v>
      </c>
      <c r="I134" s="155">
        <f>H134*E134</f>
        <v>945</v>
      </c>
    </row>
    <row r="135" spans="1:9" s="138" customFormat="1" ht="19.5" customHeight="1">
      <c r="A135" s="151" t="s">
        <v>356</v>
      </c>
      <c r="B135" s="152" t="s">
        <v>265</v>
      </c>
      <c r="C135" s="151" t="s">
        <v>199</v>
      </c>
      <c r="D135" s="151">
        <v>0.4</v>
      </c>
      <c r="E135" s="153">
        <f>E123</f>
        <v>0.01</v>
      </c>
      <c r="F135" s="151">
        <f>F129</f>
        <v>5</v>
      </c>
      <c r="G135" s="157">
        <f>G129</f>
        <v>7200000</v>
      </c>
      <c r="H135" s="155">
        <f>G135/F135/500</f>
        <v>2880</v>
      </c>
      <c r="I135" s="155">
        <f>H135*E135</f>
        <v>28.8</v>
      </c>
    </row>
    <row r="136" spans="1:9" s="138" customFormat="1" ht="19.5" customHeight="1">
      <c r="A136" s="151" t="s">
        <v>357</v>
      </c>
      <c r="B136" s="152" t="s">
        <v>229</v>
      </c>
      <c r="C136" s="151" t="s">
        <v>230</v>
      </c>
      <c r="D136" s="151"/>
      <c r="E136" s="153">
        <f>E124</f>
        <v>1.73</v>
      </c>
      <c r="F136" s="151"/>
      <c r="G136" s="157">
        <f>G130</f>
        <v>2200</v>
      </c>
      <c r="H136" s="155">
        <f>G136</f>
        <v>2200</v>
      </c>
      <c r="I136" s="155">
        <f>H136*E136</f>
        <v>3806</v>
      </c>
    </row>
    <row r="137" spans="1:9" s="150" customFormat="1" ht="19.5" customHeight="1">
      <c r="A137" s="145" t="s">
        <v>74</v>
      </c>
      <c r="B137" s="146" t="s">
        <v>102</v>
      </c>
      <c r="C137" s="145" t="s">
        <v>233</v>
      </c>
      <c r="D137" s="145"/>
      <c r="E137" s="153" t="s">
        <v>282</v>
      </c>
      <c r="F137" s="145"/>
      <c r="G137" s="149"/>
      <c r="H137" s="49"/>
      <c r="I137" s="49">
        <f>SUM(I138:I142)/10</f>
        <v>506.20500000000004</v>
      </c>
    </row>
    <row r="138" spans="1:9" s="138" customFormat="1" ht="19.5" customHeight="1">
      <c r="A138" s="151" t="s">
        <v>358</v>
      </c>
      <c r="B138" s="152" t="s">
        <v>257</v>
      </c>
      <c r="C138" s="151" t="s">
        <v>199</v>
      </c>
      <c r="D138" s="151">
        <v>2.2</v>
      </c>
      <c r="E138" s="153">
        <f>E120</f>
        <v>0.07</v>
      </c>
      <c r="F138" s="151">
        <f>F132</f>
        <v>8</v>
      </c>
      <c r="G138" s="157">
        <f>G132</f>
        <v>12700000</v>
      </c>
      <c r="H138" s="155">
        <f>G138/F138/500</f>
        <v>3175</v>
      </c>
      <c r="I138" s="155">
        <f>H138*E138</f>
        <v>222.25000000000003</v>
      </c>
    </row>
    <row r="139" spans="1:9" s="138" customFormat="1" ht="19.5" customHeight="1">
      <c r="A139" s="151" t="s">
        <v>359</v>
      </c>
      <c r="B139" s="152" t="s">
        <v>261</v>
      </c>
      <c r="C139" s="151" t="s">
        <v>199</v>
      </c>
      <c r="D139" s="151">
        <v>0.4</v>
      </c>
      <c r="E139" s="153">
        <f>E121</f>
        <v>0.01</v>
      </c>
      <c r="F139" s="151">
        <v>5</v>
      </c>
      <c r="G139" s="157">
        <f>G133</f>
        <v>15000000</v>
      </c>
      <c r="H139" s="155">
        <f>G139/F139/500</f>
        <v>6000</v>
      </c>
      <c r="I139" s="155">
        <f>H139*E139</f>
        <v>60</v>
      </c>
    </row>
    <row r="140" spans="1:9" s="138" customFormat="1" ht="19.5" customHeight="1">
      <c r="A140" s="151" t="s">
        <v>360</v>
      </c>
      <c r="B140" s="152" t="s">
        <v>263</v>
      </c>
      <c r="C140" s="151" t="s">
        <v>199</v>
      </c>
      <c r="D140" s="151">
        <v>1.5</v>
      </c>
      <c r="E140" s="153">
        <f>E122</f>
        <v>0.03</v>
      </c>
      <c r="F140" s="151">
        <f>F134</f>
        <v>8</v>
      </c>
      <c r="G140" s="157">
        <f>G134</f>
        <v>126000000</v>
      </c>
      <c r="H140" s="155">
        <f>G140/F140/500</f>
        <v>31500</v>
      </c>
      <c r="I140" s="155">
        <f>H140*E140</f>
        <v>945</v>
      </c>
    </row>
    <row r="141" spans="1:9" s="138" customFormat="1" ht="19.5" customHeight="1">
      <c r="A141" s="151" t="s">
        <v>361</v>
      </c>
      <c r="B141" s="152" t="s">
        <v>265</v>
      </c>
      <c r="C141" s="151" t="s">
        <v>199</v>
      </c>
      <c r="D141" s="151">
        <v>0.4</v>
      </c>
      <c r="E141" s="153">
        <f>E123</f>
        <v>0.01</v>
      </c>
      <c r="F141" s="151">
        <f>F135</f>
        <v>5</v>
      </c>
      <c r="G141" s="157">
        <f>G135</f>
        <v>7200000</v>
      </c>
      <c r="H141" s="155">
        <f>G141/F141/500</f>
        <v>2880</v>
      </c>
      <c r="I141" s="155">
        <f>H141*E141</f>
        <v>28.8</v>
      </c>
    </row>
    <row r="142" spans="1:9" s="138" customFormat="1" ht="19.5" customHeight="1">
      <c r="A142" s="151" t="s">
        <v>362</v>
      </c>
      <c r="B142" s="152" t="s">
        <v>229</v>
      </c>
      <c r="C142" s="151" t="s">
        <v>230</v>
      </c>
      <c r="D142" s="151"/>
      <c r="E142" s="153">
        <f>E124</f>
        <v>1.73</v>
      </c>
      <c r="F142" s="151"/>
      <c r="G142" s="157">
        <f>G136</f>
        <v>2200</v>
      </c>
      <c r="H142" s="155">
        <f>G142</f>
        <v>2200</v>
      </c>
      <c r="I142" s="155">
        <f>H142*E142</f>
        <v>3806</v>
      </c>
    </row>
    <row r="143" spans="1:9" s="150" customFormat="1" ht="19.5" customHeight="1">
      <c r="A143" s="145" t="s">
        <v>75</v>
      </c>
      <c r="B143" s="146" t="s">
        <v>90</v>
      </c>
      <c r="C143" s="145" t="s">
        <v>234</v>
      </c>
      <c r="D143" s="145"/>
      <c r="E143" s="153" t="s">
        <v>282</v>
      </c>
      <c r="F143" s="145"/>
      <c r="G143" s="149"/>
      <c r="H143" s="49"/>
      <c r="I143" s="49">
        <f>SUM(I144:I148)/10</f>
        <v>506.20500000000004</v>
      </c>
    </row>
    <row r="144" spans="1:9" s="138" customFormat="1" ht="19.5" customHeight="1">
      <c r="A144" s="151" t="s">
        <v>363</v>
      </c>
      <c r="B144" s="152" t="s">
        <v>257</v>
      </c>
      <c r="C144" s="151" t="s">
        <v>199</v>
      </c>
      <c r="D144" s="151">
        <v>2.2</v>
      </c>
      <c r="E144" s="153">
        <f>E120</f>
        <v>0.07</v>
      </c>
      <c r="F144" s="151">
        <f>F138</f>
        <v>8</v>
      </c>
      <c r="G144" s="157">
        <f>G138</f>
        <v>12700000</v>
      </c>
      <c r="H144" s="155">
        <f>G144/F144/500</f>
        <v>3175</v>
      </c>
      <c r="I144" s="155">
        <f>H144*E144</f>
        <v>222.25000000000003</v>
      </c>
    </row>
    <row r="145" spans="1:9" s="138" customFormat="1" ht="19.5" customHeight="1">
      <c r="A145" s="151" t="s">
        <v>364</v>
      </c>
      <c r="B145" s="152" t="s">
        <v>261</v>
      </c>
      <c r="C145" s="151" t="s">
        <v>199</v>
      </c>
      <c r="D145" s="151">
        <v>0.4</v>
      </c>
      <c r="E145" s="153">
        <f>E121</f>
        <v>0.01</v>
      </c>
      <c r="F145" s="151">
        <v>5</v>
      </c>
      <c r="G145" s="157">
        <f>G139</f>
        <v>15000000</v>
      </c>
      <c r="H145" s="155">
        <f>G145/F145/500</f>
        <v>6000</v>
      </c>
      <c r="I145" s="155">
        <f>H145*E145</f>
        <v>60</v>
      </c>
    </row>
    <row r="146" spans="1:9" s="138" customFormat="1" ht="19.5" customHeight="1">
      <c r="A146" s="151" t="s">
        <v>365</v>
      </c>
      <c r="B146" s="152" t="s">
        <v>263</v>
      </c>
      <c r="C146" s="151" t="s">
        <v>199</v>
      </c>
      <c r="D146" s="151">
        <v>1.5</v>
      </c>
      <c r="E146" s="153">
        <f>E122</f>
        <v>0.03</v>
      </c>
      <c r="F146" s="151">
        <f>F140</f>
        <v>8</v>
      </c>
      <c r="G146" s="157">
        <f>G140</f>
        <v>126000000</v>
      </c>
      <c r="H146" s="155">
        <f>G146/F146/500</f>
        <v>31500</v>
      </c>
      <c r="I146" s="155">
        <f>H146*E146</f>
        <v>945</v>
      </c>
    </row>
    <row r="147" spans="1:9" s="138" customFormat="1" ht="19.5" customHeight="1">
      <c r="A147" s="151" t="s">
        <v>366</v>
      </c>
      <c r="B147" s="152" t="s">
        <v>265</v>
      </c>
      <c r="C147" s="151" t="s">
        <v>199</v>
      </c>
      <c r="D147" s="151">
        <v>0.4</v>
      </c>
      <c r="E147" s="153">
        <f>E123</f>
        <v>0.01</v>
      </c>
      <c r="F147" s="151">
        <f>F141</f>
        <v>5</v>
      </c>
      <c r="G147" s="157">
        <f>G141</f>
        <v>7200000</v>
      </c>
      <c r="H147" s="155">
        <f>G147/F147/500</f>
        <v>2880</v>
      </c>
      <c r="I147" s="155">
        <f>H147*E147</f>
        <v>28.8</v>
      </c>
    </row>
    <row r="148" spans="1:9" s="138" customFormat="1" ht="19.5" customHeight="1">
      <c r="A148" s="151" t="s">
        <v>367</v>
      </c>
      <c r="B148" s="152" t="s">
        <v>229</v>
      </c>
      <c r="C148" s="151" t="s">
        <v>230</v>
      </c>
      <c r="D148" s="151"/>
      <c r="E148" s="153">
        <f>E124</f>
        <v>1.73</v>
      </c>
      <c r="F148" s="151"/>
      <c r="G148" s="157">
        <f>G142</f>
        <v>2200</v>
      </c>
      <c r="H148" s="155">
        <f>G148</f>
        <v>2200</v>
      </c>
      <c r="I148" s="155">
        <f>H148*E148</f>
        <v>3806</v>
      </c>
    </row>
    <row r="149" spans="1:9" s="150" customFormat="1" ht="19.5" customHeight="1">
      <c r="A149" s="145" t="s">
        <v>78</v>
      </c>
      <c r="B149" s="146" t="s">
        <v>92</v>
      </c>
      <c r="C149" s="145" t="s">
        <v>283</v>
      </c>
      <c r="D149" s="145"/>
      <c r="E149" s="153" t="s">
        <v>284</v>
      </c>
      <c r="F149" s="145"/>
      <c r="G149" s="149"/>
      <c r="H149" s="49"/>
      <c r="I149" s="49">
        <f>SUM(I150:I154)/10</f>
        <v>5062.05</v>
      </c>
    </row>
    <row r="150" spans="1:9" s="138" customFormat="1" ht="19.5" customHeight="1">
      <c r="A150" s="151" t="s">
        <v>368</v>
      </c>
      <c r="B150" s="152" t="s">
        <v>257</v>
      </c>
      <c r="C150" s="151" t="s">
        <v>199</v>
      </c>
      <c r="D150" s="151">
        <v>2.2</v>
      </c>
      <c r="E150" s="153">
        <f>10*E120</f>
        <v>0.7000000000000001</v>
      </c>
      <c r="F150" s="151">
        <f>F144</f>
        <v>8</v>
      </c>
      <c r="G150" s="157">
        <f>G144</f>
        <v>12700000</v>
      </c>
      <c r="H150" s="155">
        <f>G150/F150/500</f>
        <v>3175</v>
      </c>
      <c r="I150" s="155">
        <f>H150*E150</f>
        <v>2222.5</v>
      </c>
    </row>
    <row r="151" spans="1:9" s="138" customFormat="1" ht="19.5" customHeight="1">
      <c r="A151" s="151" t="s">
        <v>369</v>
      </c>
      <c r="B151" s="152" t="s">
        <v>261</v>
      </c>
      <c r="C151" s="151" t="s">
        <v>199</v>
      </c>
      <c r="D151" s="151">
        <v>0.4</v>
      </c>
      <c r="E151" s="153">
        <f>10*E121</f>
        <v>0.1</v>
      </c>
      <c r="F151" s="151">
        <v>5</v>
      </c>
      <c r="G151" s="157">
        <f>G145</f>
        <v>15000000</v>
      </c>
      <c r="H151" s="155">
        <f>G151/F151/500</f>
        <v>6000</v>
      </c>
      <c r="I151" s="155">
        <f>H151*E151</f>
        <v>600</v>
      </c>
    </row>
    <row r="152" spans="1:9" s="138" customFormat="1" ht="19.5" customHeight="1">
      <c r="A152" s="151" t="s">
        <v>370</v>
      </c>
      <c r="B152" s="152" t="s">
        <v>263</v>
      </c>
      <c r="C152" s="151" t="s">
        <v>199</v>
      </c>
      <c r="D152" s="151">
        <v>1.5</v>
      </c>
      <c r="E152" s="153">
        <f>10*E122</f>
        <v>0.3</v>
      </c>
      <c r="F152" s="151">
        <f>F146</f>
        <v>8</v>
      </c>
      <c r="G152" s="157">
        <f>G146</f>
        <v>126000000</v>
      </c>
      <c r="H152" s="155">
        <f>G152/F152/500</f>
        <v>31500</v>
      </c>
      <c r="I152" s="155">
        <f>H152*E152</f>
        <v>9450</v>
      </c>
    </row>
    <row r="153" spans="1:9" s="138" customFormat="1" ht="19.5" customHeight="1">
      <c r="A153" s="151" t="s">
        <v>371</v>
      </c>
      <c r="B153" s="152" t="s">
        <v>265</v>
      </c>
      <c r="C153" s="151" t="s">
        <v>199</v>
      </c>
      <c r="D153" s="151">
        <v>0.4</v>
      </c>
      <c r="E153" s="153">
        <f>10*E123</f>
        <v>0.1</v>
      </c>
      <c r="F153" s="151">
        <f>F147</f>
        <v>5</v>
      </c>
      <c r="G153" s="157">
        <f>G147</f>
        <v>7200000</v>
      </c>
      <c r="H153" s="155">
        <f>G153/F153/500</f>
        <v>2880</v>
      </c>
      <c r="I153" s="155">
        <f>H153*E153</f>
        <v>288</v>
      </c>
    </row>
    <row r="154" spans="1:9" s="138" customFormat="1" ht="19.5" customHeight="1">
      <c r="A154" s="151" t="s">
        <v>372</v>
      </c>
      <c r="B154" s="152" t="s">
        <v>229</v>
      </c>
      <c r="C154" s="151" t="s">
        <v>230</v>
      </c>
      <c r="D154" s="151"/>
      <c r="E154" s="153">
        <f>10*E124</f>
        <v>17.3</v>
      </c>
      <c r="F154" s="151"/>
      <c r="G154" s="157">
        <f>G148</f>
        <v>2200</v>
      </c>
      <c r="H154" s="155">
        <f>G154</f>
        <v>2200</v>
      </c>
      <c r="I154" s="155">
        <f>H154*E154</f>
        <v>38060</v>
      </c>
    </row>
    <row r="155" spans="1:9" s="150" customFormat="1" ht="19.5" customHeight="1">
      <c r="A155" s="145" t="s">
        <v>77</v>
      </c>
      <c r="B155" s="146" t="s">
        <v>275</v>
      </c>
      <c r="C155" s="145" t="s">
        <v>236</v>
      </c>
      <c r="D155" s="145"/>
      <c r="E155" s="153" t="s">
        <v>282</v>
      </c>
      <c r="F155" s="145"/>
      <c r="G155" s="149"/>
      <c r="H155" s="49"/>
      <c r="I155" s="49">
        <f>SUM(I156:I160)/10</f>
        <v>506.20500000000004</v>
      </c>
    </row>
    <row r="156" spans="1:9" s="138" customFormat="1" ht="19.5" customHeight="1">
      <c r="A156" s="151" t="s">
        <v>373</v>
      </c>
      <c r="B156" s="152" t="s">
        <v>257</v>
      </c>
      <c r="C156" s="151" t="s">
        <v>199</v>
      </c>
      <c r="D156" s="151">
        <v>2.2</v>
      </c>
      <c r="E156" s="153">
        <f>E120</f>
        <v>0.07</v>
      </c>
      <c r="F156" s="151">
        <f>F150</f>
        <v>8</v>
      </c>
      <c r="G156" s="157">
        <f>G150</f>
        <v>12700000</v>
      </c>
      <c r="H156" s="155">
        <f>G156/F156/500</f>
        <v>3175</v>
      </c>
      <c r="I156" s="155">
        <f>H156*E156</f>
        <v>222.25000000000003</v>
      </c>
    </row>
    <row r="157" spans="1:9" s="138" customFormat="1" ht="19.5" customHeight="1">
      <c r="A157" s="151" t="s">
        <v>374</v>
      </c>
      <c r="B157" s="152" t="s">
        <v>261</v>
      </c>
      <c r="C157" s="151" t="s">
        <v>199</v>
      </c>
      <c r="D157" s="151">
        <v>0.4</v>
      </c>
      <c r="E157" s="153">
        <f>E121</f>
        <v>0.01</v>
      </c>
      <c r="F157" s="151">
        <v>5</v>
      </c>
      <c r="G157" s="157">
        <f>G151</f>
        <v>15000000</v>
      </c>
      <c r="H157" s="155">
        <f>G157/F157/500</f>
        <v>6000</v>
      </c>
      <c r="I157" s="155">
        <f>H157*E157</f>
        <v>60</v>
      </c>
    </row>
    <row r="158" spans="1:9" s="138" customFormat="1" ht="19.5" customHeight="1">
      <c r="A158" s="151" t="s">
        <v>375</v>
      </c>
      <c r="B158" s="152" t="s">
        <v>263</v>
      </c>
      <c r="C158" s="151" t="s">
        <v>199</v>
      </c>
      <c r="D158" s="151">
        <v>1.5</v>
      </c>
      <c r="E158" s="153">
        <f>E122</f>
        <v>0.03</v>
      </c>
      <c r="F158" s="151">
        <f>F152</f>
        <v>8</v>
      </c>
      <c r="G158" s="157">
        <f>G152</f>
        <v>126000000</v>
      </c>
      <c r="H158" s="155">
        <f>G158/F158/500</f>
        <v>31500</v>
      </c>
      <c r="I158" s="155">
        <f>H158*E158</f>
        <v>945</v>
      </c>
    </row>
    <row r="159" spans="1:9" s="138" customFormat="1" ht="19.5" customHeight="1">
      <c r="A159" s="151" t="s">
        <v>376</v>
      </c>
      <c r="B159" s="152" t="s">
        <v>265</v>
      </c>
      <c r="C159" s="151" t="s">
        <v>199</v>
      </c>
      <c r="D159" s="151">
        <v>0.4</v>
      </c>
      <c r="E159" s="153">
        <f>E123</f>
        <v>0.01</v>
      </c>
      <c r="F159" s="151">
        <f>F153</f>
        <v>5</v>
      </c>
      <c r="G159" s="157">
        <f>G153</f>
        <v>7200000</v>
      </c>
      <c r="H159" s="155">
        <f>G159/F159/500</f>
        <v>2880</v>
      </c>
      <c r="I159" s="155">
        <f>H159*E159</f>
        <v>28.8</v>
      </c>
    </row>
    <row r="160" spans="1:9" s="138" customFormat="1" ht="19.5" customHeight="1">
      <c r="A160" s="151" t="s">
        <v>377</v>
      </c>
      <c r="B160" s="152" t="s">
        <v>229</v>
      </c>
      <c r="C160" s="151" t="s">
        <v>230</v>
      </c>
      <c r="D160" s="151"/>
      <c r="E160" s="153">
        <f>E124</f>
        <v>1.73</v>
      </c>
      <c r="F160" s="151"/>
      <c r="G160" s="157">
        <f>G154</f>
        <v>2200</v>
      </c>
      <c r="H160" s="155">
        <f>G160</f>
        <v>2200</v>
      </c>
      <c r="I160" s="155">
        <f>H160*E160</f>
        <v>3806</v>
      </c>
    </row>
    <row r="161" spans="1:9" s="150" customFormat="1" ht="19.5" customHeight="1">
      <c r="A161" s="145" t="s">
        <v>76</v>
      </c>
      <c r="B161" s="146" t="s">
        <v>96</v>
      </c>
      <c r="C161" s="145" t="s">
        <v>236</v>
      </c>
      <c r="D161" s="145"/>
      <c r="E161" s="153" t="s">
        <v>285</v>
      </c>
      <c r="F161" s="145"/>
      <c r="G161" s="149"/>
      <c r="H161" s="49"/>
      <c r="I161" s="49">
        <f>SUM(I162:I166)/10</f>
        <v>1012.4100000000001</v>
      </c>
    </row>
    <row r="162" spans="1:9" s="138" customFormat="1" ht="19.5" customHeight="1">
      <c r="A162" s="151" t="s">
        <v>378</v>
      </c>
      <c r="B162" s="152" t="s">
        <v>257</v>
      </c>
      <c r="C162" s="151" t="s">
        <v>199</v>
      </c>
      <c r="D162" s="151">
        <v>2.2</v>
      </c>
      <c r="E162" s="153">
        <f>2*E120</f>
        <v>0.14</v>
      </c>
      <c r="F162" s="151">
        <f>F156</f>
        <v>8</v>
      </c>
      <c r="G162" s="157">
        <f>G156</f>
        <v>12700000</v>
      </c>
      <c r="H162" s="155">
        <f>G162/F162/500</f>
        <v>3175</v>
      </c>
      <c r="I162" s="155">
        <f>H162*E162</f>
        <v>444.50000000000006</v>
      </c>
    </row>
    <row r="163" spans="1:9" s="138" customFormat="1" ht="19.5" customHeight="1">
      <c r="A163" s="151" t="s">
        <v>379</v>
      </c>
      <c r="B163" s="152" t="s">
        <v>261</v>
      </c>
      <c r="C163" s="151" t="s">
        <v>199</v>
      </c>
      <c r="D163" s="151">
        <v>0.4</v>
      </c>
      <c r="E163" s="153">
        <f>2*E121</f>
        <v>0.02</v>
      </c>
      <c r="F163" s="151">
        <v>5</v>
      </c>
      <c r="G163" s="157">
        <f>G157</f>
        <v>15000000</v>
      </c>
      <c r="H163" s="155">
        <f>G163/F163/500</f>
        <v>6000</v>
      </c>
      <c r="I163" s="155">
        <f>H163*E163</f>
        <v>120</v>
      </c>
    </row>
    <row r="164" spans="1:9" s="138" customFormat="1" ht="19.5" customHeight="1">
      <c r="A164" s="151" t="s">
        <v>380</v>
      </c>
      <c r="B164" s="152" t="s">
        <v>263</v>
      </c>
      <c r="C164" s="151" t="s">
        <v>199</v>
      </c>
      <c r="D164" s="151">
        <v>1.5</v>
      </c>
      <c r="E164" s="153">
        <f>2*E122</f>
        <v>0.06</v>
      </c>
      <c r="F164" s="151">
        <f>F158</f>
        <v>8</v>
      </c>
      <c r="G164" s="157">
        <f>G158</f>
        <v>126000000</v>
      </c>
      <c r="H164" s="155">
        <f>G164/F164/500</f>
        <v>31500</v>
      </c>
      <c r="I164" s="155">
        <f>H164*E164</f>
        <v>1890</v>
      </c>
    </row>
    <row r="165" spans="1:9" s="138" customFormat="1" ht="19.5" customHeight="1">
      <c r="A165" s="151" t="s">
        <v>381</v>
      </c>
      <c r="B165" s="152" t="s">
        <v>265</v>
      </c>
      <c r="C165" s="151" t="s">
        <v>199</v>
      </c>
      <c r="D165" s="151">
        <v>0.4</v>
      </c>
      <c r="E165" s="153">
        <f>2*E123</f>
        <v>0.02</v>
      </c>
      <c r="F165" s="151">
        <f>F159</f>
        <v>5</v>
      </c>
      <c r="G165" s="157">
        <f>G159</f>
        <v>7200000</v>
      </c>
      <c r="H165" s="155">
        <f>G165/F165/500</f>
        <v>2880</v>
      </c>
      <c r="I165" s="155">
        <f>H165*E165</f>
        <v>57.6</v>
      </c>
    </row>
    <row r="166" spans="1:9" s="138" customFormat="1" ht="19.5" customHeight="1">
      <c r="A166" s="151" t="s">
        <v>382</v>
      </c>
      <c r="B166" s="152" t="s">
        <v>229</v>
      </c>
      <c r="C166" s="151" t="s">
        <v>230</v>
      </c>
      <c r="D166" s="151"/>
      <c r="E166" s="153">
        <f>2*E124</f>
        <v>3.46</v>
      </c>
      <c r="F166" s="151"/>
      <c r="G166" s="157">
        <f>G160</f>
        <v>2200</v>
      </c>
      <c r="H166" s="155">
        <f>G166</f>
        <v>2200</v>
      </c>
      <c r="I166" s="155">
        <f>H166*E166</f>
        <v>7612</v>
      </c>
    </row>
    <row r="167" spans="1:9" s="144" customFormat="1" ht="19.5" customHeight="1">
      <c r="A167" s="158">
        <v>4</v>
      </c>
      <c r="B167" s="159" t="s">
        <v>286</v>
      </c>
      <c r="C167" s="158"/>
      <c r="D167" s="158"/>
      <c r="E167" s="160"/>
      <c r="F167" s="158"/>
      <c r="G167" s="161"/>
      <c r="H167" s="162"/>
      <c r="I167" s="182">
        <f>I168+I174+I180+I186+I192+I198+I204+I210</f>
        <v>21426.210000000003</v>
      </c>
    </row>
    <row r="168" spans="1:9" s="150" customFormat="1" ht="19.5" customHeight="1">
      <c r="A168" s="145" t="s">
        <v>104</v>
      </c>
      <c r="B168" s="146" t="s">
        <v>256</v>
      </c>
      <c r="C168" s="145" t="s">
        <v>231</v>
      </c>
      <c r="D168" s="147"/>
      <c r="E168" s="148"/>
      <c r="F168" s="147"/>
      <c r="G168" s="149"/>
      <c r="H168" s="49"/>
      <c r="I168" s="49">
        <f>SUM(I169:I173)/10</f>
        <v>1326.7350000000001</v>
      </c>
    </row>
    <row r="169" spans="1:9" s="138" customFormat="1" ht="19.5" customHeight="1">
      <c r="A169" s="151" t="s">
        <v>287</v>
      </c>
      <c r="B169" s="152" t="s">
        <v>257</v>
      </c>
      <c r="C169" s="151" t="s">
        <v>199</v>
      </c>
      <c r="D169" s="151">
        <v>2.2</v>
      </c>
      <c r="E169" s="153">
        <v>0.13</v>
      </c>
      <c r="F169" s="151">
        <f aca="true" t="shared" si="23" ref="F169:G172">F162</f>
        <v>8</v>
      </c>
      <c r="G169" s="157">
        <f t="shared" si="23"/>
        <v>12700000</v>
      </c>
      <c r="H169" s="155">
        <f>G169/F169/500</f>
        <v>3175</v>
      </c>
      <c r="I169" s="155">
        <f>H169*E169</f>
        <v>412.75</v>
      </c>
    </row>
    <row r="170" spans="1:9" s="138" customFormat="1" ht="19.5" customHeight="1">
      <c r="A170" s="151" t="s">
        <v>288</v>
      </c>
      <c r="B170" s="152" t="s">
        <v>261</v>
      </c>
      <c r="C170" s="151" t="s">
        <v>199</v>
      </c>
      <c r="D170" s="151">
        <v>0.4</v>
      </c>
      <c r="E170" s="153">
        <v>0.24</v>
      </c>
      <c r="F170" s="151">
        <f>F176</f>
        <v>5</v>
      </c>
      <c r="G170" s="157">
        <f t="shared" si="23"/>
        <v>15000000</v>
      </c>
      <c r="H170" s="155">
        <f>G170/F170/500</f>
        <v>6000</v>
      </c>
      <c r="I170" s="155">
        <f>H170*E170</f>
        <v>1440</v>
      </c>
    </row>
    <row r="171" spans="1:9" s="138" customFormat="1" ht="19.5" customHeight="1">
      <c r="A171" s="151" t="s">
        <v>289</v>
      </c>
      <c r="B171" s="152" t="s">
        <v>263</v>
      </c>
      <c r="C171" s="151" t="s">
        <v>199</v>
      </c>
      <c r="D171" s="151">
        <v>1.5</v>
      </c>
      <c r="E171" s="153">
        <v>0.07</v>
      </c>
      <c r="F171" s="151">
        <f t="shared" si="23"/>
        <v>8</v>
      </c>
      <c r="G171" s="157">
        <f t="shared" si="23"/>
        <v>126000000</v>
      </c>
      <c r="H171" s="155">
        <f>G171/F171/500</f>
        <v>31500</v>
      </c>
      <c r="I171" s="155">
        <f>H171*E171</f>
        <v>2205</v>
      </c>
    </row>
    <row r="172" spans="1:9" s="138" customFormat="1" ht="19.5" customHeight="1">
      <c r="A172" s="151" t="s">
        <v>290</v>
      </c>
      <c r="B172" s="152" t="s">
        <v>265</v>
      </c>
      <c r="C172" s="151" t="s">
        <v>199</v>
      </c>
      <c r="D172" s="151">
        <v>0.4</v>
      </c>
      <c r="E172" s="153">
        <v>0.02</v>
      </c>
      <c r="F172" s="151">
        <f t="shared" si="23"/>
        <v>5</v>
      </c>
      <c r="G172" s="157">
        <f t="shared" si="23"/>
        <v>7200000</v>
      </c>
      <c r="H172" s="155">
        <f>G172/F172/500</f>
        <v>2880</v>
      </c>
      <c r="I172" s="155">
        <f>H172*E172</f>
        <v>57.6</v>
      </c>
    </row>
    <row r="173" spans="1:9" s="138" customFormat="1" ht="19.5" customHeight="1">
      <c r="A173" s="151" t="s">
        <v>291</v>
      </c>
      <c r="B173" s="152" t="s">
        <v>229</v>
      </c>
      <c r="C173" s="151" t="s">
        <v>230</v>
      </c>
      <c r="D173" s="151"/>
      <c r="E173" s="153">
        <v>4.16</v>
      </c>
      <c r="F173" s="151"/>
      <c r="G173" s="157">
        <f>G166</f>
        <v>2200</v>
      </c>
      <c r="H173" s="155">
        <f>G173</f>
        <v>2200</v>
      </c>
      <c r="I173" s="155">
        <f>H173*E173</f>
        <v>9152</v>
      </c>
    </row>
    <row r="174" spans="1:9" s="150" customFormat="1" ht="19.5" customHeight="1">
      <c r="A174" s="145" t="s">
        <v>105</v>
      </c>
      <c r="B174" s="146" t="s">
        <v>269</v>
      </c>
      <c r="C174" s="145" t="s">
        <v>231</v>
      </c>
      <c r="D174" s="147"/>
      <c r="E174" s="153" t="s">
        <v>292</v>
      </c>
      <c r="F174" s="145"/>
      <c r="G174" s="149"/>
      <c r="H174" s="49"/>
      <c r="I174" s="49">
        <f>SUM(I175:I179)/10</f>
        <v>995.0512500000001</v>
      </c>
    </row>
    <row r="175" spans="1:9" s="138" customFormat="1" ht="19.5" customHeight="1">
      <c r="A175" s="151" t="s">
        <v>383</v>
      </c>
      <c r="B175" s="152" t="s">
        <v>257</v>
      </c>
      <c r="C175" s="151" t="s">
        <v>199</v>
      </c>
      <c r="D175" s="151">
        <v>2.2</v>
      </c>
      <c r="E175" s="153">
        <f>E169*0.75</f>
        <v>0.0975</v>
      </c>
      <c r="F175" s="151">
        <f>F169</f>
        <v>8</v>
      </c>
      <c r="G175" s="157">
        <f>G169</f>
        <v>12700000</v>
      </c>
      <c r="H175" s="155">
        <f>G175/F175/500</f>
        <v>3175</v>
      </c>
      <c r="I175" s="155">
        <f>H175*E175</f>
        <v>309.5625</v>
      </c>
    </row>
    <row r="176" spans="1:9" s="138" customFormat="1" ht="19.5" customHeight="1">
      <c r="A176" s="151" t="s">
        <v>384</v>
      </c>
      <c r="B176" s="152" t="s">
        <v>261</v>
      </c>
      <c r="C176" s="151" t="s">
        <v>199</v>
      </c>
      <c r="D176" s="151">
        <v>0.4</v>
      </c>
      <c r="E176" s="153">
        <f>E170*0.75</f>
        <v>0.18</v>
      </c>
      <c r="F176" s="151">
        <v>5</v>
      </c>
      <c r="G176" s="157">
        <f>G170</f>
        <v>15000000</v>
      </c>
      <c r="H176" s="155">
        <f>G176/F176/500</f>
        <v>6000</v>
      </c>
      <c r="I176" s="155">
        <f>H176*E176</f>
        <v>1080</v>
      </c>
    </row>
    <row r="177" spans="1:9" s="138" customFormat="1" ht="19.5" customHeight="1">
      <c r="A177" s="151" t="s">
        <v>385</v>
      </c>
      <c r="B177" s="152" t="s">
        <v>263</v>
      </c>
      <c r="C177" s="151" t="s">
        <v>199</v>
      </c>
      <c r="D177" s="151">
        <v>1.5</v>
      </c>
      <c r="E177" s="153">
        <f>E171*0.75</f>
        <v>0.052500000000000005</v>
      </c>
      <c r="F177" s="151">
        <v>8</v>
      </c>
      <c r="G177" s="157">
        <f>G171</f>
        <v>126000000</v>
      </c>
      <c r="H177" s="155">
        <f>G177/F177/500</f>
        <v>31500</v>
      </c>
      <c r="I177" s="155">
        <f>H177*E177</f>
        <v>1653.7500000000002</v>
      </c>
    </row>
    <row r="178" spans="1:9" s="138" customFormat="1" ht="19.5" customHeight="1">
      <c r="A178" s="151" t="s">
        <v>386</v>
      </c>
      <c r="B178" s="152" t="s">
        <v>265</v>
      </c>
      <c r="C178" s="151" t="s">
        <v>199</v>
      </c>
      <c r="D178" s="151">
        <v>0.4</v>
      </c>
      <c r="E178" s="153">
        <f>E172*0.75</f>
        <v>0.015</v>
      </c>
      <c r="F178" s="151">
        <f>F172</f>
        <v>5</v>
      </c>
      <c r="G178" s="157">
        <f>G172</f>
        <v>7200000</v>
      </c>
      <c r="H178" s="155">
        <f>G178/F178/500</f>
        <v>2880</v>
      </c>
      <c r="I178" s="155">
        <f>H178*E178</f>
        <v>43.199999999999996</v>
      </c>
    </row>
    <row r="179" spans="1:9" s="138" customFormat="1" ht="19.5" customHeight="1">
      <c r="A179" s="151" t="s">
        <v>387</v>
      </c>
      <c r="B179" s="152" t="s">
        <v>229</v>
      </c>
      <c r="C179" s="151" t="s">
        <v>230</v>
      </c>
      <c r="D179" s="151"/>
      <c r="E179" s="153">
        <f>E173*0.75</f>
        <v>3.12</v>
      </c>
      <c r="F179" s="151"/>
      <c r="G179" s="157">
        <f>G173</f>
        <v>2200</v>
      </c>
      <c r="H179" s="155">
        <f>G179</f>
        <v>2200</v>
      </c>
      <c r="I179" s="155">
        <f>H179*E179</f>
        <v>6864</v>
      </c>
    </row>
    <row r="180" spans="1:9" s="150" customFormat="1" ht="19.5" customHeight="1">
      <c r="A180" s="145" t="s">
        <v>106</v>
      </c>
      <c r="B180" s="146" t="s">
        <v>271</v>
      </c>
      <c r="C180" s="145" t="s">
        <v>232</v>
      </c>
      <c r="D180" s="145"/>
      <c r="E180" s="153" t="s">
        <v>292</v>
      </c>
      <c r="F180" s="145"/>
      <c r="G180" s="149"/>
      <c r="H180" s="49"/>
      <c r="I180" s="49">
        <f>SUM(I181:I185)/10</f>
        <v>995.0512500000001</v>
      </c>
    </row>
    <row r="181" spans="1:9" s="138" customFormat="1" ht="19.5" customHeight="1">
      <c r="A181" s="151" t="s">
        <v>388</v>
      </c>
      <c r="B181" s="152" t="s">
        <v>257</v>
      </c>
      <c r="C181" s="151" t="s">
        <v>199</v>
      </c>
      <c r="D181" s="151">
        <v>2.2</v>
      </c>
      <c r="E181" s="153">
        <f>0.75*E169</f>
        <v>0.0975</v>
      </c>
      <c r="F181" s="151">
        <f aca="true" t="shared" si="24" ref="F181:G184">F175</f>
        <v>8</v>
      </c>
      <c r="G181" s="157">
        <f t="shared" si="24"/>
        <v>12700000</v>
      </c>
      <c r="H181" s="155">
        <f>G181/F181/500</f>
        <v>3175</v>
      </c>
      <c r="I181" s="155">
        <f>H181*E181</f>
        <v>309.5625</v>
      </c>
    </row>
    <row r="182" spans="1:9" s="138" customFormat="1" ht="19.5" customHeight="1">
      <c r="A182" s="151" t="s">
        <v>389</v>
      </c>
      <c r="B182" s="152" t="s">
        <v>261</v>
      </c>
      <c r="C182" s="151" t="s">
        <v>199</v>
      </c>
      <c r="D182" s="151">
        <v>0.4</v>
      </c>
      <c r="E182" s="153">
        <f>0.75*E170</f>
        <v>0.18</v>
      </c>
      <c r="F182" s="151">
        <f t="shared" si="24"/>
        <v>5</v>
      </c>
      <c r="G182" s="157">
        <f t="shared" si="24"/>
        <v>15000000</v>
      </c>
      <c r="H182" s="155">
        <f>G182/F182/500</f>
        <v>6000</v>
      </c>
      <c r="I182" s="155">
        <f>H182*E182</f>
        <v>1080</v>
      </c>
    </row>
    <row r="183" spans="1:9" s="138" customFormat="1" ht="19.5" customHeight="1">
      <c r="A183" s="151" t="s">
        <v>390</v>
      </c>
      <c r="B183" s="152" t="s">
        <v>263</v>
      </c>
      <c r="C183" s="151" t="s">
        <v>199</v>
      </c>
      <c r="D183" s="151">
        <v>1.5</v>
      </c>
      <c r="E183" s="153">
        <f>0.75*E171</f>
        <v>0.052500000000000005</v>
      </c>
      <c r="F183" s="151">
        <f t="shared" si="24"/>
        <v>8</v>
      </c>
      <c r="G183" s="157">
        <f t="shared" si="24"/>
        <v>126000000</v>
      </c>
      <c r="H183" s="155">
        <f>G183/F183/500</f>
        <v>31500</v>
      </c>
      <c r="I183" s="155">
        <f>H183*E183</f>
        <v>1653.7500000000002</v>
      </c>
    </row>
    <row r="184" spans="1:9" s="138" customFormat="1" ht="19.5" customHeight="1">
      <c r="A184" s="151" t="s">
        <v>391</v>
      </c>
      <c r="B184" s="152" t="s">
        <v>265</v>
      </c>
      <c r="C184" s="151" t="s">
        <v>199</v>
      </c>
      <c r="D184" s="151">
        <v>0.4</v>
      </c>
      <c r="E184" s="153">
        <f>0.75*E172</f>
        <v>0.015</v>
      </c>
      <c r="F184" s="151">
        <f t="shared" si="24"/>
        <v>5</v>
      </c>
      <c r="G184" s="157">
        <f t="shared" si="24"/>
        <v>7200000</v>
      </c>
      <c r="H184" s="155">
        <f>G184/F184/500</f>
        <v>2880</v>
      </c>
      <c r="I184" s="155">
        <f>H184*E184</f>
        <v>43.199999999999996</v>
      </c>
    </row>
    <row r="185" spans="1:9" s="138" customFormat="1" ht="19.5" customHeight="1">
      <c r="A185" s="151" t="s">
        <v>392</v>
      </c>
      <c r="B185" s="152" t="s">
        <v>229</v>
      </c>
      <c r="C185" s="151" t="s">
        <v>230</v>
      </c>
      <c r="D185" s="151"/>
      <c r="E185" s="153">
        <f>0.75*E173</f>
        <v>3.12</v>
      </c>
      <c r="F185" s="151"/>
      <c r="G185" s="157">
        <f>G179</f>
        <v>2200</v>
      </c>
      <c r="H185" s="155">
        <f>G185</f>
        <v>2200</v>
      </c>
      <c r="I185" s="155">
        <f>H185*E185</f>
        <v>6864</v>
      </c>
    </row>
    <row r="186" spans="1:9" s="150" customFormat="1" ht="19.5" customHeight="1">
      <c r="A186" s="145" t="s">
        <v>107</v>
      </c>
      <c r="B186" s="146" t="s">
        <v>102</v>
      </c>
      <c r="C186" s="145" t="s">
        <v>233</v>
      </c>
      <c r="D186" s="145"/>
      <c r="E186" s="153" t="s">
        <v>293</v>
      </c>
      <c r="F186" s="145"/>
      <c r="G186" s="149"/>
      <c r="H186" s="49"/>
      <c r="I186" s="49">
        <f>SUM(I187:I191)/10</f>
        <v>1990.1025000000002</v>
      </c>
    </row>
    <row r="187" spans="1:9" s="138" customFormat="1" ht="19.5" customHeight="1">
      <c r="A187" s="151" t="s">
        <v>393</v>
      </c>
      <c r="B187" s="152" t="s">
        <v>257</v>
      </c>
      <c r="C187" s="151" t="s">
        <v>199</v>
      </c>
      <c r="D187" s="151">
        <v>2.2</v>
      </c>
      <c r="E187" s="153">
        <f>1.5*E169</f>
        <v>0.195</v>
      </c>
      <c r="F187" s="151">
        <f aca="true" t="shared" si="25" ref="F187:G190">F181</f>
        <v>8</v>
      </c>
      <c r="G187" s="157">
        <f t="shared" si="25"/>
        <v>12700000</v>
      </c>
      <c r="H187" s="155">
        <f>G187/F187/500</f>
        <v>3175</v>
      </c>
      <c r="I187" s="155">
        <f>H187*E187</f>
        <v>619.125</v>
      </c>
    </row>
    <row r="188" spans="1:9" s="138" customFormat="1" ht="19.5" customHeight="1">
      <c r="A188" s="151" t="s">
        <v>394</v>
      </c>
      <c r="B188" s="152" t="s">
        <v>261</v>
      </c>
      <c r="C188" s="151" t="s">
        <v>199</v>
      </c>
      <c r="D188" s="151">
        <v>0.4</v>
      </c>
      <c r="E188" s="153">
        <f>1.5*E170</f>
        <v>0.36</v>
      </c>
      <c r="F188" s="151">
        <f t="shared" si="25"/>
        <v>5</v>
      </c>
      <c r="G188" s="157">
        <f t="shared" si="25"/>
        <v>15000000</v>
      </c>
      <c r="H188" s="155">
        <f>G188/F188/500</f>
        <v>6000</v>
      </c>
      <c r="I188" s="155">
        <f>H188*E188</f>
        <v>2160</v>
      </c>
    </row>
    <row r="189" spans="1:9" s="138" customFormat="1" ht="19.5" customHeight="1">
      <c r="A189" s="151" t="s">
        <v>395</v>
      </c>
      <c r="B189" s="152" t="s">
        <v>263</v>
      </c>
      <c r="C189" s="151" t="s">
        <v>199</v>
      </c>
      <c r="D189" s="151">
        <v>1.5</v>
      </c>
      <c r="E189" s="153">
        <f>1.5*E171</f>
        <v>0.10500000000000001</v>
      </c>
      <c r="F189" s="151">
        <f t="shared" si="25"/>
        <v>8</v>
      </c>
      <c r="G189" s="157">
        <f t="shared" si="25"/>
        <v>126000000</v>
      </c>
      <c r="H189" s="155">
        <f>G189/F189/500</f>
        <v>31500</v>
      </c>
      <c r="I189" s="155">
        <f>H189*E189</f>
        <v>3307.5000000000005</v>
      </c>
    </row>
    <row r="190" spans="1:9" s="138" customFormat="1" ht="19.5" customHeight="1">
      <c r="A190" s="151" t="s">
        <v>396</v>
      </c>
      <c r="B190" s="152" t="s">
        <v>265</v>
      </c>
      <c r="C190" s="151" t="s">
        <v>199</v>
      </c>
      <c r="D190" s="151">
        <v>0.4</v>
      </c>
      <c r="E190" s="153">
        <f>1.5*E172</f>
        <v>0.03</v>
      </c>
      <c r="F190" s="151">
        <f t="shared" si="25"/>
        <v>5</v>
      </c>
      <c r="G190" s="157">
        <f t="shared" si="25"/>
        <v>7200000</v>
      </c>
      <c r="H190" s="155">
        <f>G190/F190/500</f>
        <v>2880</v>
      </c>
      <c r="I190" s="155">
        <f>H190*E190</f>
        <v>86.39999999999999</v>
      </c>
    </row>
    <row r="191" spans="1:9" s="138" customFormat="1" ht="19.5" customHeight="1">
      <c r="A191" s="151" t="s">
        <v>397</v>
      </c>
      <c r="B191" s="152" t="s">
        <v>229</v>
      </c>
      <c r="C191" s="151" t="s">
        <v>230</v>
      </c>
      <c r="D191" s="151"/>
      <c r="E191" s="153">
        <f>1.5*E173</f>
        <v>6.24</v>
      </c>
      <c r="F191" s="151"/>
      <c r="G191" s="157">
        <f>G185</f>
        <v>2200</v>
      </c>
      <c r="H191" s="155">
        <f>G191</f>
        <v>2200</v>
      </c>
      <c r="I191" s="155">
        <f>H191*E191</f>
        <v>13728</v>
      </c>
    </row>
    <row r="192" spans="1:9" s="150" customFormat="1" ht="19.5" customHeight="1">
      <c r="A192" s="145" t="s">
        <v>108</v>
      </c>
      <c r="B192" s="146" t="s">
        <v>90</v>
      </c>
      <c r="C192" s="145" t="s">
        <v>234</v>
      </c>
      <c r="D192" s="145"/>
      <c r="E192" s="153" t="s">
        <v>293</v>
      </c>
      <c r="F192" s="145"/>
      <c r="G192" s="149"/>
      <c r="H192" s="49"/>
      <c r="I192" s="49">
        <f>SUM(I193:I197)/10</f>
        <v>1990.1025000000002</v>
      </c>
    </row>
    <row r="193" spans="1:9" s="138" customFormat="1" ht="19.5" customHeight="1">
      <c r="A193" s="151" t="s">
        <v>398</v>
      </c>
      <c r="B193" s="152" t="s">
        <v>257</v>
      </c>
      <c r="C193" s="151" t="s">
        <v>199</v>
      </c>
      <c r="D193" s="151">
        <v>2.2</v>
      </c>
      <c r="E193" s="153">
        <f>1.5*E169</f>
        <v>0.195</v>
      </c>
      <c r="F193" s="151">
        <f aca="true" t="shared" si="26" ref="F193:G195">F187</f>
        <v>8</v>
      </c>
      <c r="G193" s="157">
        <f t="shared" si="26"/>
        <v>12700000</v>
      </c>
      <c r="H193" s="155">
        <f>G193/F193/500</f>
        <v>3175</v>
      </c>
      <c r="I193" s="155">
        <f>H193*E193</f>
        <v>619.125</v>
      </c>
    </row>
    <row r="194" spans="1:9" s="138" customFormat="1" ht="19.5" customHeight="1">
      <c r="A194" s="151" t="s">
        <v>399</v>
      </c>
      <c r="B194" s="152" t="s">
        <v>261</v>
      </c>
      <c r="C194" s="151" t="s">
        <v>199</v>
      </c>
      <c r="D194" s="151">
        <v>0.4</v>
      </c>
      <c r="E194" s="153">
        <f>1.5*E170</f>
        <v>0.36</v>
      </c>
      <c r="F194" s="151">
        <f t="shared" si="26"/>
        <v>5</v>
      </c>
      <c r="G194" s="157">
        <f t="shared" si="26"/>
        <v>15000000</v>
      </c>
      <c r="H194" s="155">
        <f>G194/F194/500</f>
        <v>6000</v>
      </c>
      <c r="I194" s="155">
        <f>H194*E194</f>
        <v>2160</v>
      </c>
    </row>
    <row r="195" spans="1:9" s="138" customFormat="1" ht="19.5" customHeight="1">
      <c r="A195" s="151" t="s">
        <v>400</v>
      </c>
      <c r="B195" s="152" t="s">
        <v>263</v>
      </c>
      <c r="C195" s="151" t="s">
        <v>199</v>
      </c>
      <c r="D195" s="151">
        <v>1.5</v>
      </c>
      <c r="E195" s="153">
        <f>1.5*E171</f>
        <v>0.10500000000000001</v>
      </c>
      <c r="F195" s="151">
        <f t="shared" si="26"/>
        <v>8</v>
      </c>
      <c r="G195" s="157">
        <f t="shared" si="26"/>
        <v>126000000</v>
      </c>
      <c r="H195" s="155">
        <f>G195/F195/500</f>
        <v>31500</v>
      </c>
      <c r="I195" s="155">
        <f>H195*E195</f>
        <v>3307.5000000000005</v>
      </c>
    </row>
    <row r="196" spans="1:9" s="138" customFormat="1" ht="19.5" customHeight="1">
      <c r="A196" s="151" t="s">
        <v>401</v>
      </c>
      <c r="B196" s="152" t="s">
        <v>265</v>
      </c>
      <c r="C196" s="151" t="s">
        <v>199</v>
      </c>
      <c r="D196" s="151">
        <v>0.4</v>
      </c>
      <c r="E196" s="153">
        <f>1.5*E172</f>
        <v>0.03</v>
      </c>
      <c r="F196" s="151">
        <v>5</v>
      </c>
      <c r="G196" s="157">
        <f>G190</f>
        <v>7200000</v>
      </c>
      <c r="H196" s="155">
        <f>G196/F196/500</f>
        <v>2880</v>
      </c>
      <c r="I196" s="155">
        <f>H196*E196</f>
        <v>86.39999999999999</v>
      </c>
    </row>
    <row r="197" spans="1:9" s="138" customFormat="1" ht="19.5" customHeight="1">
      <c r="A197" s="151" t="s">
        <v>402</v>
      </c>
      <c r="B197" s="152" t="s">
        <v>229</v>
      </c>
      <c r="C197" s="151" t="s">
        <v>230</v>
      </c>
      <c r="D197" s="151"/>
      <c r="E197" s="153">
        <f>1.5*E173</f>
        <v>6.24</v>
      </c>
      <c r="F197" s="151"/>
      <c r="G197" s="157">
        <f>G191</f>
        <v>2200</v>
      </c>
      <c r="H197" s="155">
        <f>G197</f>
        <v>2200</v>
      </c>
      <c r="I197" s="155">
        <f>H197*E197</f>
        <v>13728</v>
      </c>
    </row>
    <row r="198" spans="1:9" s="150" customFormat="1" ht="19.5" customHeight="1">
      <c r="A198" s="145" t="s">
        <v>109</v>
      </c>
      <c r="B198" s="146" t="s">
        <v>92</v>
      </c>
      <c r="C198" s="145" t="s">
        <v>235</v>
      </c>
      <c r="D198" s="145"/>
      <c r="E198" s="153" t="s">
        <v>294</v>
      </c>
      <c r="F198" s="145"/>
      <c r="G198" s="149"/>
      <c r="H198" s="49"/>
      <c r="I198" s="49">
        <f>SUM(I199:I203)/10</f>
        <v>9950.5125</v>
      </c>
    </row>
    <row r="199" spans="1:9" s="138" customFormat="1" ht="19.5" customHeight="1">
      <c r="A199" s="151" t="s">
        <v>403</v>
      </c>
      <c r="B199" s="152" t="s">
        <v>257</v>
      </c>
      <c r="C199" s="151" t="s">
        <v>199</v>
      </c>
      <c r="D199" s="151">
        <v>2.2</v>
      </c>
      <c r="E199" s="153">
        <f>7.5*E169</f>
        <v>0.9750000000000001</v>
      </c>
      <c r="F199" s="151">
        <f aca="true" t="shared" si="27" ref="F199:G202">F193</f>
        <v>8</v>
      </c>
      <c r="G199" s="157">
        <f t="shared" si="27"/>
        <v>12700000</v>
      </c>
      <c r="H199" s="155">
        <f>G199/F199/500</f>
        <v>3175</v>
      </c>
      <c r="I199" s="155">
        <f>H199*E199</f>
        <v>3095.6250000000005</v>
      </c>
    </row>
    <row r="200" spans="1:9" s="138" customFormat="1" ht="19.5" customHeight="1">
      <c r="A200" s="151" t="s">
        <v>404</v>
      </c>
      <c r="B200" s="152" t="s">
        <v>261</v>
      </c>
      <c r="C200" s="151" t="s">
        <v>199</v>
      </c>
      <c r="D200" s="151">
        <v>0.4</v>
      </c>
      <c r="E200" s="153">
        <f>7.5*E170</f>
        <v>1.7999999999999998</v>
      </c>
      <c r="F200" s="151">
        <f t="shared" si="27"/>
        <v>5</v>
      </c>
      <c r="G200" s="157">
        <f t="shared" si="27"/>
        <v>15000000</v>
      </c>
      <c r="H200" s="155">
        <f>G200/F200/500</f>
        <v>6000</v>
      </c>
      <c r="I200" s="155">
        <f>H200*E200</f>
        <v>10799.999999999998</v>
      </c>
    </row>
    <row r="201" spans="1:9" s="138" customFormat="1" ht="19.5" customHeight="1">
      <c r="A201" s="151" t="s">
        <v>405</v>
      </c>
      <c r="B201" s="152" t="s">
        <v>263</v>
      </c>
      <c r="C201" s="151" t="s">
        <v>199</v>
      </c>
      <c r="D201" s="151">
        <v>1.5</v>
      </c>
      <c r="E201" s="153">
        <f>7.5*E171</f>
        <v>0.525</v>
      </c>
      <c r="F201" s="151">
        <f t="shared" si="27"/>
        <v>8</v>
      </c>
      <c r="G201" s="157">
        <f t="shared" si="27"/>
        <v>126000000</v>
      </c>
      <c r="H201" s="155">
        <f>G201/F201/500</f>
        <v>31500</v>
      </c>
      <c r="I201" s="155">
        <f>H201*E201</f>
        <v>16537.5</v>
      </c>
    </row>
    <row r="202" spans="1:9" s="138" customFormat="1" ht="19.5" customHeight="1">
      <c r="A202" s="151" t="s">
        <v>406</v>
      </c>
      <c r="B202" s="152" t="s">
        <v>265</v>
      </c>
      <c r="C202" s="151" t="s">
        <v>199</v>
      </c>
      <c r="D202" s="151">
        <v>0.4</v>
      </c>
      <c r="E202" s="153">
        <f>7.5*E172</f>
        <v>0.15</v>
      </c>
      <c r="F202" s="151">
        <f t="shared" si="27"/>
        <v>5</v>
      </c>
      <c r="G202" s="157">
        <f t="shared" si="27"/>
        <v>7200000</v>
      </c>
      <c r="H202" s="155">
        <f>G202/F202/500</f>
        <v>2880</v>
      </c>
      <c r="I202" s="155">
        <f>H202*E202</f>
        <v>432</v>
      </c>
    </row>
    <row r="203" spans="1:9" s="138" customFormat="1" ht="19.5" customHeight="1">
      <c r="A203" s="151" t="s">
        <v>407</v>
      </c>
      <c r="B203" s="152" t="s">
        <v>229</v>
      </c>
      <c r="C203" s="151" t="s">
        <v>230</v>
      </c>
      <c r="D203" s="151"/>
      <c r="E203" s="153">
        <f>7.5*E173</f>
        <v>31.200000000000003</v>
      </c>
      <c r="F203" s="151"/>
      <c r="G203" s="157">
        <f>G197</f>
        <v>2200</v>
      </c>
      <c r="H203" s="155">
        <f>G203</f>
        <v>2200</v>
      </c>
      <c r="I203" s="155">
        <f>H203*E203</f>
        <v>68640</v>
      </c>
    </row>
    <row r="204" spans="1:9" s="150" customFormat="1" ht="19.5" customHeight="1">
      <c r="A204" s="145" t="s">
        <v>110</v>
      </c>
      <c r="B204" s="146" t="s">
        <v>275</v>
      </c>
      <c r="C204" s="145" t="s">
        <v>236</v>
      </c>
      <c r="D204" s="145"/>
      <c r="E204" s="153" t="s">
        <v>293</v>
      </c>
      <c r="F204" s="145"/>
      <c r="G204" s="149"/>
      <c r="H204" s="49"/>
      <c r="I204" s="49">
        <f>SUM(I205:I209)/10</f>
        <v>1990.1025000000002</v>
      </c>
    </row>
    <row r="205" spans="1:9" s="138" customFormat="1" ht="19.5" customHeight="1">
      <c r="A205" s="151" t="s">
        <v>408</v>
      </c>
      <c r="B205" s="152" t="s">
        <v>257</v>
      </c>
      <c r="C205" s="151" t="s">
        <v>199</v>
      </c>
      <c r="D205" s="151">
        <v>2.2</v>
      </c>
      <c r="E205" s="153">
        <f>1.5*E169</f>
        <v>0.195</v>
      </c>
      <c r="F205" s="151">
        <f>F199</f>
        <v>8</v>
      </c>
      <c r="G205" s="157">
        <f>G199</f>
        <v>12700000</v>
      </c>
      <c r="H205" s="155">
        <f>G205/F205/500</f>
        <v>3175</v>
      </c>
      <c r="I205" s="155">
        <f>H205*E205</f>
        <v>619.125</v>
      </c>
    </row>
    <row r="206" spans="1:9" s="138" customFormat="1" ht="19.5" customHeight="1">
      <c r="A206" s="151" t="s">
        <v>409</v>
      </c>
      <c r="B206" s="152" t="s">
        <v>261</v>
      </c>
      <c r="C206" s="151" t="s">
        <v>199</v>
      </c>
      <c r="D206" s="151">
        <v>0.4</v>
      </c>
      <c r="E206" s="153">
        <f>1.5*E170</f>
        <v>0.36</v>
      </c>
      <c r="F206" s="151">
        <f>F200</f>
        <v>5</v>
      </c>
      <c r="G206" s="157">
        <f>G200</f>
        <v>15000000</v>
      </c>
      <c r="H206" s="155">
        <f>G206/F206/500</f>
        <v>6000</v>
      </c>
      <c r="I206" s="155">
        <f>H206*E206</f>
        <v>2160</v>
      </c>
    </row>
    <row r="207" spans="1:9" s="138" customFormat="1" ht="19.5" customHeight="1">
      <c r="A207" s="151" t="s">
        <v>410</v>
      </c>
      <c r="B207" s="152" t="s">
        <v>263</v>
      </c>
      <c r="C207" s="151" t="s">
        <v>199</v>
      </c>
      <c r="D207" s="151">
        <v>1.5</v>
      </c>
      <c r="E207" s="153">
        <f>1.5*E171</f>
        <v>0.10500000000000001</v>
      </c>
      <c r="F207" s="151">
        <f>F189</f>
        <v>8</v>
      </c>
      <c r="G207" s="157">
        <f>G201</f>
        <v>126000000</v>
      </c>
      <c r="H207" s="155">
        <f>G207/F207/500</f>
        <v>31500</v>
      </c>
      <c r="I207" s="155">
        <f>H207*E207</f>
        <v>3307.5000000000005</v>
      </c>
    </row>
    <row r="208" spans="1:9" s="138" customFormat="1" ht="19.5" customHeight="1">
      <c r="A208" s="151" t="s">
        <v>411</v>
      </c>
      <c r="B208" s="152" t="s">
        <v>265</v>
      </c>
      <c r="C208" s="151" t="s">
        <v>199</v>
      </c>
      <c r="D208" s="151">
        <v>0.4</v>
      </c>
      <c r="E208" s="153">
        <f>1.5*E172</f>
        <v>0.03</v>
      </c>
      <c r="F208" s="151">
        <f>F202</f>
        <v>5</v>
      </c>
      <c r="G208" s="157">
        <f>G202</f>
        <v>7200000</v>
      </c>
      <c r="H208" s="155">
        <f>G208/F208/500</f>
        <v>2880</v>
      </c>
      <c r="I208" s="155">
        <f>H208*E208</f>
        <v>86.39999999999999</v>
      </c>
    </row>
    <row r="209" spans="1:9" s="138" customFormat="1" ht="19.5" customHeight="1">
      <c r="A209" s="151" t="s">
        <v>412</v>
      </c>
      <c r="B209" s="152" t="s">
        <v>229</v>
      </c>
      <c r="C209" s="151" t="s">
        <v>230</v>
      </c>
      <c r="D209" s="151"/>
      <c r="E209" s="153">
        <f>1.5*E173</f>
        <v>6.24</v>
      </c>
      <c r="F209" s="151"/>
      <c r="G209" s="157">
        <f>G203</f>
        <v>2200</v>
      </c>
      <c r="H209" s="155">
        <f>G209</f>
        <v>2200</v>
      </c>
      <c r="I209" s="155">
        <f>H209*E209</f>
        <v>13728</v>
      </c>
    </row>
    <row r="210" spans="1:9" s="150" customFormat="1" ht="19.5" customHeight="1">
      <c r="A210" s="145" t="s">
        <v>111</v>
      </c>
      <c r="B210" s="146" t="s">
        <v>96</v>
      </c>
      <c r="C210" s="145" t="s">
        <v>236</v>
      </c>
      <c r="D210" s="145"/>
      <c r="E210" s="153" t="s">
        <v>293</v>
      </c>
      <c r="F210" s="145"/>
      <c r="G210" s="149"/>
      <c r="H210" s="49"/>
      <c r="I210" s="49">
        <f>SUM(I211:I215)/10</f>
        <v>2188.5525000000002</v>
      </c>
    </row>
    <row r="211" spans="1:9" s="138" customFormat="1" ht="19.5" customHeight="1">
      <c r="A211" s="151" t="s">
        <v>413</v>
      </c>
      <c r="B211" s="152" t="s">
        <v>257</v>
      </c>
      <c r="C211" s="151" t="s">
        <v>199</v>
      </c>
      <c r="D211" s="151">
        <v>2.2</v>
      </c>
      <c r="E211" s="153">
        <f>1.5*E169</f>
        <v>0.195</v>
      </c>
      <c r="F211" s="151">
        <f>F205</f>
        <v>8</v>
      </c>
      <c r="G211" s="157">
        <f>G205</f>
        <v>12700000</v>
      </c>
      <c r="H211" s="155">
        <f>G211/F211/500</f>
        <v>3175</v>
      </c>
      <c r="I211" s="155">
        <f>H211*E211</f>
        <v>619.125</v>
      </c>
    </row>
    <row r="212" spans="1:9" s="138" customFormat="1" ht="19.5" customHeight="1">
      <c r="A212" s="151" t="s">
        <v>414</v>
      </c>
      <c r="B212" s="152" t="s">
        <v>261</v>
      </c>
      <c r="C212" s="151" t="s">
        <v>199</v>
      </c>
      <c r="D212" s="151">
        <v>0.4</v>
      </c>
      <c r="E212" s="153">
        <f>1.5*E170</f>
        <v>0.36</v>
      </c>
      <c r="F212" s="151">
        <f>F206</f>
        <v>5</v>
      </c>
      <c r="G212" s="157">
        <f>G206</f>
        <v>15000000</v>
      </c>
      <c r="H212" s="155">
        <f>G212/F212/500</f>
        <v>6000</v>
      </c>
      <c r="I212" s="155">
        <f>H212*E212</f>
        <v>2160</v>
      </c>
    </row>
    <row r="213" spans="1:9" s="138" customFormat="1" ht="19.5" customHeight="1">
      <c r="A213" s="151" t="s">
        <v>415</v>
      </c>
      <c r="B213" s="152" t="s">
        <v>263</v>
      </c>
      <c r="C213" s="151" t="s">
        <v>199</v>
      </c>
      <c r="D213" s="151">
        <v>1.5</v>
      </c>
      <c r="E213" s="153">
        <f>1.5*E171</f>
        <v>0.10500000000000001</v>
      </c>
      <c r="F213" s="151">
        <f>F206</f>
        <v>5</v>
      </c>
      <c r="G213" s="157">
        <f>G207</f>
        <v>126000000</v>
      </c>
      <c r="H213" s="155">
        <f>G213/F213/500</f>
        <v>50400</v>
      </c>
      <c r="I213" s="155">
        <f>H213*E213</f>
        <v>5292.000000000001</v>
      </c>
    </row>
    <row r="214" spans="1:9" s="138" customFormat="1" ht="19.5" customHeight="1">
      <c r="A214" s="151" t="s">
        <v>416</v>
      </c>
      <c r="B214" s="152" t="s">
        <v>265</v>
      </c>
      <c r="C214" s="151" t="s">
        <v>199</v>
      </c>
      <c r="D214" s="151">
        <v>0.4</v>
      </c>
      <c r="E214" s="153">
        <f>1.5*E172</f>
        <v>0.03</v>
      </c>
      <c r="F214" s="151">
        <f>F208</f>
        <v>5</v>
      </c>
      <c r="G214" s="157">
        <f>G208</f>
        <v>7200000</v>
      </c>
      <c r="H214" s="155">
        <f>G214/F214/500</f>
        <v>2880</v>
      </c>
      <c r="I214" s="155">
        <f>H214*E214</f>
        <v>86.39999999999999</v>
      </c>
    </row>
    <row r="215" spans="1:9" s="138" customFormat="1" ht="19.5" customHeight="1">
      <c r="A215" s="163" t="s">
        <v>417</v>
      </c>
      <c r="B215" s="164" t="s">
        <v>229</v>
      </c>
      <c r="C215" s="163" t="s">
        <v>230</v>
      </c>
      <c r="D215" s="163"/>
      <c r="E215" s="165">
        <f>1.5*E173</f>
        <v>6.24</v>
      </c>
      <c r="F215" s="163"/>
      <c r="G215" s="166">
        <f>G209</f>
        <v>2200</v>
      </c>
      <c r="H215" s="167">
        <f>G215</f>
        <v>2200</v>
      </c>
      <c r="I215" s="167">
        <f>H215*E215</f>
        <v>13728</v>
      </c>
    </row>
    <row r="218" spans="1:6" ht="19.5" customHeight="1">
      <c r="A218" s="450" t="s">
        <v>557</v>
      </c>
      <c r="B218" s="450"/>
      <c r="C218" s="450"/>
      <c r="D218" s="450"/>
      <c r="E218" s="450"/>
      <c r="F218" s="390"/>
    </row>
    <row r="219" spans="1:7" ht="19.5" customHeight="1">
      <c r="A219" s="456" t="s">
        <v>2</v>
      </c>
      <c r="B219" s="456" t="s">
        <v>3</v>
      </c>
      <c r="C219" s="457" t="s">
        <v>22</v>
      </c>
      <c r="D219" s="456" t="s">
        <v>240</v>
      </c>
      <c r="E219" s="457" t="s">
        <v>428</v>
      </c>
      <c r="F219" s="168"/>
      <c r="G219" s="169"/>
    </row>
    <row r="220" spans="1:7" ht="19.5" customHeight="1">
      <c r="A220" s="456"/>
      <c r="B220" s="456"/>
      <c r="C220" s="456"/>
      <c r="D220" s="456"/>
      <c r="E220" s="456"/>
      <c r="F220" s="170"/>
      <c r="G220" s="169"/>
    </row>
    <row r="221" spans="1:9" s="171" customFormat="1" ht="19.5" customHeight="1">
      <c r="A221" s="203">
        <v>1</v>
      </c>
      <c r="B221" s="204" t="s">
        <v>82</v>
      </c>
      <c r="C221" s="205"/>
      <c r="D221" s="206">
        <v>1</v>
      </c>
      <c r="E221" s="207">
        <f>I4</f>
        <v>4486.7085</v>
      </c>
      <c r="F221" s="150"/>
      <c r="G221" s="172"/>
      <c r="H221" s="173"/>
      <c r="I221" s="173"/>
    </row>
    <row r="222" spans="1:9" s="176" customFormat="1" ht="19.5" customHeight="1">
      <c r="A222" s="208" t="s">
        <v>11</v>
      </c>
      <c r="B222" s="209" t="s">
        <v>421</v>
      </c>
      <c r="C222" s="210" t="s">
        <v>427</v>
      </c>
      <c r="D222" s="211">
        <v>0.3</v>
      </c>
      <c r="E222" s="212">
        <f>D222*E221</f>
        <v>1346.01255</v>
      </c>
      <c r="F222" s="144"/>
      <c r="G222" s="174"/>
      <c r="H222" s="175"/>
      <c r="I222" s="175"/>
    </row>
    <row r="223" spans="1:7" ht="19.5" customHeight="1">
      <c r="A223" s="208" t="s">
        <v>12</v>
      </c>
      <c r="B223" s="209" t="s">
        <v>422</v>
      </c>
      <c r="C223" s="210" t="s">
        <v>427</v>
      </c>
      <c r="D223" s="211">
        <v>0.7</v>
      </c>
      <c r="E223" s="210">
        <f>D223*E221</f>
        <v>3140.69595</v>
      </c>
      <c r="F223" s="138"/>
      <c r="G223" s="169"/>
    </row>
    <row r="224" spans="1:7" ht="19.5" customHeight="1">
      <c r="A224" s="208">
        <v>2</v>
      </c>
      <c r="B224" s="213" t="s">
        <v>97</v>
      </c>
      <c r="C224" s="214"/>
      <c r="D224" s="211">
        <v>1</v>
      </c>
      <c r="E224" s="215">
        <v>24086.8738</v>
      </c>
      <c r="F224" s="138"/>
      <c r="G224" s="169"/>
    </row>
    <row r="225" spans="1:7" ht="19.5" customHeight="1">
      <c r="A225" s="208" t="s">
        <v>13</v>
      </c>
      <c r="B225" s="209" t="s">
        <v>68</v>
      </c>
      <c r="C225" s="210" t="s">
        <v>427</v>
      </c>
      <c r="D225" s="211">
        <v>0.2</v>
      </c>
      <c r="E225" s="210">
        <f>D225*E224</f>
        <v>4817.374760000001</v>
      </c>
      <c r="F225" s="138"/>
      <c r="G225" s="169"/>
    </row>
    <row r="226" spans="1:7" ht="19.5" customHeight="1">
      <c r="A226" s="208" t="s">
        <v>14</v>
      </c>
      <c r="B226" s="209" t="s">
        <v>97</v>
      </c>
      <c r="C226" s="210" t="s">
        <v>427</v>
      </c>
      <c r="D226" s="211">
        <v>0.7</v>
      </c>
      <c r="E226" s="210">
        <f>D226*E224</f>
        <v>16860.81166</v>
      </c>
      <c r="F226" s="138"/>
      <c r="G226" s="169"/>
    </row>
    <row r="227" spans="1:7" ht="19.5" customHeight="1">
      <c r="A227" s="208" t="s">
        <v>15</v>
      </c>
      <c r="B227" s="209" t="s">
        <v>423</v>
      </c>
      <c r="C227" s="210" t="s">
        <v>427</v>
      </c>
      <c r="D227" s="211">
        <v>0.1</v>
      </c>
      <c r="E227" s="210">
        <f>D227*E224</f>
        <v>2408.6873800000003</v>
      </c>
      <c r="F227" s="138"/>
      <c r="G227" s="169"/>
    </row>
    <row r="228" spans="1:7" ht="19.5" customHeight="1">
      <c r="A228" s="208">
        <v>3</v>
      </c>
      <c r="B228" s="213" t="s">
        <v>100</v>
      </c>
      <c r="C228" s="214" t="s">
        <v>427</v>
      </c>
      <c r="D228" s="211">
        <v>1</v>
      </c>
      <c r="E228" s="210">
        <f>I118</f>
        <v>9111.69</v>
      </c>
      <c r="F228" s="138"/>
      <c r="G228" s="169"/>
    </row>
    <row r="229" spans="1:7" ht="19.5" customHeight="1">
      <c r="A229" s="216">
        <v>4</v>
      </c>
      <c r="B229" s="217" t="s">
        <v>286</v>
      </c>
      <c r="C229" s="218" t="s">
        <v>427</v>
      </c>
      <c r="D229" s="219">
        <v>1</v>
      </c>
      <c r="E229" s="220">
        <f>I167</f>
        <v>21426.210000000003</v>
      </c>
      <c r="F229" s="138"/>
      <c r="G229" s="169"/>
    </row>
  </sheetData>
  <sheetProtection/>
  <mergeCells count="8">
    <mergeCell ref="E219:E220"/>
    <mergeCell ref="A1:H1"/>
    <mergeCell ref="A2:H2"/>
    <mergeCell ref="A219:A220"/>
    <mergeCell ref="B219:B220"/>
    <mergeCell ref="C219:C220"/>
    <mergeCell ref="D219:D220"/>
    <mergeCell ref="A218:E218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7">
      <selection activeCell="E15" sqref="E15"/>
    </sheetView>
  </sheetViews>
  <sheetFormatPr defaultColWidth="9.140625" defaultRowHeight="19.5" customHeight="1"/>
  <cols>
    <col min="2" max="2" width="32.28125" style="0" customWidth="1"/>
    <col min="4" max="4" width="9.00390625" style="0" customWidth="1"/>
    <col min="6" max="6" width="11.57421875" style="0" bestFit="1" customWidth="1"/>
    <col min="8" max="8" width="11.28125" style="0" customWidth="1"/>
  </cols>
  <sheetData>
    <row r="1" spans="1:10" ht="19.5" customHeight="1">
      <c r="A1" s="458" t="s">
        <v>243</v>
      </c>
      <c r="B1" s="458"/>
      <c r="C1" s="458"/>
      <c r="D1" s="458"/>
      <c r="E1" s="458"/>
      <c r="F1" s="458"/>
      <c r="G1" s="458"/>
      <c r="H1" s="458"/>
      <c r="I1" s="458"/>
      <c r="J1" s="458"/>
    </row>
    <row r="2" spans="1:10" ht="19.5" customHeight="1">
      <c r="A2" s="458" t="s">
        <v>587</v>
      </c>
      <c r="B2" s="458"/>
      <c r="C2" s="458"/>
      <c r="D2" s="458"/>
      <c r="E2" s="458"/>
      <c r="F2" s="458"/>
      <c r="G2" s="458"/>
      <c r="H2" s="458"/>
      <c r="I2" s="458"/>
      <c r="J2" s="458"/>
    </row>
    <row r="4" spans="1:9" ht="33.75" customHeight="1">
      <c r="A4" s="133" t="s">
        <v>238</v>
      </c>
      <c r="B4" s="133" t="s">
        <v>191</v>
      </c>
      <c r="C4" s="133" t="s">
        <v>192</v>
      </c>
      <c r="D4" s="133" t="s">
        <v>193</v>
      </c>
      <c r="E4" s="183" t="s">
        <v>194</v>
      </c>
      <c r="F4" s="183" t="s">
        <v>252</v>
      </c>
      <c r="G4" s="133" t="s">
        <v>245</v>
      </c>
      <c r="H4" s="133" t="s">
        <v>545</v>
      </c>
      <c r="I4" s="136"/>
    </row>
    <row r="5" spans="1:9" ht="19.5" customHeight="1">
      <c r="A5" s="96">
        <v>1</v>
      </c>
      <c r="B5" s="320" t="s">
        <v>246</v>
      </c>
      <c r="C5" s="96" t="s">
        <v>199</v>
      </c>
      <c r="D5" s="96">
        <v>9</v>
      </c>
      <c r="E5" s="196">
        <f>IF(B5=Dungcu_C_QLBĐ!B5,Dungcu_C_QLBĐ!E5)</f>
        <v>150000</v>
      </c>
      <c r="F5" s="196">
        <f>E5/(D5*26)</f>
        <v>641.025641025641</v>
      </c>
      <c r="G5" s="96">
        <v>1.6</v>
      </c>
      <c r="H5" s="187">
        <f>F5*G5</f>
        <v>1025.6410256410256</v>
      </c>
      <c r="I5" s="136"/>
    </row>
    <row r="6" spans="1:9" ht="19.5" customHeight="1">
      <c r="A6" s="56">
        <v>2</v>
      </c>
      <c r="B6" s="59" t="s">
        <v>200</v>
      </c>
      <c r="C6" s="56" t="s">
        <v>201</v>
      </c>
      <c r="D6" s="56">
        <v>6</v>
      </c>
      <c r="E6" s="197">
        <f>IF(B6=Dungcu_C_QLBĐ!B6,Dungcu_C_QLBĐ!E6)</f>
        <v>20000</v>
      </c>
      <c r="F6" s="197">
        <f aca="true" t="shared" si="0" ref="F6:F19">E6/(D6*26)</f>
        <v>128.2051282051282</v>
      </c>
      <c r="G6" s="56">
        <v>1.6</v>
      </c>
      <c r="H6" s="155">
        <f aca="true" t="shared" si="1" ref="H6:H20">F6*G6</f>
        <v>205.12820512820514</v>
      </c>
      <c r="I6" s="136"/>
    </row>
    <row r="7" spans="1:9" ht="19.5" customHeight="1">
      <c r="A7" s="56">
        <v>3</v>
      </c>
      <c r="B7" s="59" t="s">
        <v>202</v>
      </c>
      <c r="C7" s="56" t="s">
        <v>199</v>
      </c>
      <c r="D7" s="56">
        <v>36</v>
      </c>
      <c r="E7" s="197">
        <f>IF(B7=Dungcu_C_QLBĐ!B7,Dungcu_C_QLBĐ!E7)</f>
        <v>30000</v>
      </c>
      <c r="F7" s="197">
        <f t="shared" si="0"/>
        <v>32.05128205128205</v>
      </c>
      <c r="G7" s="56">
        <v>0.01</v>
      </c>
      <c r="H7" s="155">
        <f t="shared" si="1"/>
        <v>0.32051282051282054</v>
      </c>
      <c r="I7" s="136"/>
    </row>
    <row r="8" spans="1:9" ht="19.5" customHeight="1">
      <c r="A8" s="56">
        <v>4</v>
      </c>
      <c r="B8" s="59" t="s">
        <v>206</v>
      </c>
      <c r="C8" s="56" t="s">
        <v>199</v>
      </c>
      <c r="D8" s="56">
        <v>1</v>
      </c>
      <c r="E8" s="197">
        <f>Dungcu_C_QLBĐ!E10</f>
        <v>3000</v>
      </c>
      <c r="F8" s="197">
        <f t="shared" si="0"/>
        <v>115.38461538461539</v>
      </c>
      <c r="G8" s="56">
        <v>0.05</v>
      </c>
      <c r="H8" s="155">
        <f t="shared" si="1"/>
        <v>5.76923076923077</v>
      </c>
      <c r="I8" s="136"/>
    </row>
    <row r="9" spans="1:9" ht="19.5" customHeight="1">
      <c r="A9" s="56">
        <v>5</v>
      </c>
      <c r="B9" s="59" t="s">
        <v>207</v>
      </c>
      <c r="C9" s="56" t="s">
        <v>199</v>
      </c>
      <c r="D9" s="56">
        <v>1</v>
      </c>
      <c r="E9" s="197">
        <f>Dungcu_C_QLBĐ!E11</f>
        <v>6000</v>
      </c>
      <c r="F9" s="197">
        <f t="shared" si="0"/>
        <v>230.76923076923077</v>
      </c>
      <c r="G9" s="56">
        <v>0.05</v>
      </c>
      <c r="H9" s="155">
        <f t="shared" si="1"/>
        <v>11.53846153846154</v>
      </c>
      <c r="I9" s="136"/>
    </row>
    <row r="10" spans="1:9" ht="19.5" customHeight="1">
      <c r="A10" s="56">
        <v>6</v>
      </c>
      <c r="B10" s="59" t="s">
        <v>210</v>
      </c>
      <c r="C10" s="56" t="s">
        <v>199</v>
      </c>
      <c r="D10" s="56">
        <v>36</v>
      </c>
      <c r="E10" s="197">
        <f>IF(B10=Dungcu_C_QLBĐ!B13,Dungcu_C_QLBĐ!E13)</f>
        <v>120000</v>
      </c>
      <c r="F10" s="197">
        <f t="shared" si="0"/>
        <v>128.2051282051282</v>
      </c>
      <c r="G10" s="56">
        <v>0.4</v>
      </c>
      <c r="H10" s="155">
        <f t="shared" si="1"/>
        <v>51.282051282051285</v>
      </c>
      <c r="I10" s="136"/>
    </row>
    <row r="11" spans="1:9" ht="19.5" customHeight="1">
      <c r="A11" s="56">
        <v>7</v>
      </c>
      <c r="B11" s="59" t="s">
        <v>213</v>
      </c>
      <c r="C11" s="56" t="s">
        <v>199</v>
      </c>
      <c r="D11" s="56">
        <v>60</v>
      </c>
      <c r="E11" s="197">
        <f>Dungcu_C_QLBĐ!E18</f>
        <v>3000000</v>
      </c>
      <c r="F11" s="197">
        <f t="shared" si="0"/>
        <v>1923.076923076923</v>
      </c>
      <c r="G11" s="56">
        <v>0.4</v>
      </c>
      <c r="H11" s="155">
        <f t="shared" si="1"/>
        <v>769.2307692307693</v>
      </c>
      <c r="I11" s="136"/>
    </row>
    <row r="12" spans="1:9" ht="19.5" customHeight="1">
      <c r="A12" s="56">
        <v>8</v>
      </c>
      <c r="B12" s="59" t="s">
        <v>528</v>
      </c>
      <c r="C12" s="56" t="s">
        <v>199</v>
      </c>
      <c r="D12" s="56">
        <v>60</v>
      </c>
      <c r="E12" s="197">
        <f>Dungcu_C_QLBĐ!E23</f>
        <v>300000</v>
      </c>
      <c r="F12" s="197">
        <f t="shared" si="0"/>
        <v>192.30769230769232</v>
      </c>
      <c r="G12" s="56">
        <v>0.1</v>
      </c>
      <c r="H12" s="155">
        <f t="shared" si="1"/>
        <v>19.230769230769234</v>
      </c>
      <c r="I12" s="136"/>
    </row>
    <row r="13" spans="1:9" ht="19.5" customHeight="1">
      <c r="A13" s="56">
        <v>9</v>
      </c>
      <c r="B13" s="59" t="s">
        <v>529</v>
      </c>
      <c r="C13" s="56" t="s">
        <v>199</v>
      </c>
      <c r="D13" s="56">
        <v>48</v>
      </c>
      <c r="E13" s="197">
        <f>Dungcu_C_QLBĐ!E24</f>
        <v>100000</v>
      </c>
      <c r="F13" s="197">
        <f t="shared" si="0"/>
        <v>80.12820512820512</v>
      </c>
      <c r="G13" s="56">
        <v>0.01</v>
      </c>
      <c r="H13" s="155">
        <f t="shared" si="1"/>
        <v>0.8012820512820512</v>
      </c>
      <c r="I13" s="136"/>
    </row>
    <row r="14" spans="1:9" ht="19.5" customHeight="1">
      <c r="A14" s="56">
        <v>10</v>
      </c>
      <c r="B14" s="59" t="s">
        <v>530</v>
      </c>
      <c r="C14" s="56" t="s">
        <v>531</v>
      </c>
      <c r="D14" s="56">
        <v>3</v>
      </c>
      <c r="E14" s="197">
        <f>Dungcu_C_QLBĐ!E25</f>
        <v>50000</v>
      </c>
      <c r="F14" s="197">
        <f t="shared" si="0"/>
        <v>641.025641025641</v>
      </c>
      <c r="G14" s="56">
        <v>0.8</v>
      </c>
      <c r="H14" s="155">
        <f t="shared" si="1"/>
        <v>512.8205128205128</v>
      </c>
      <c r="I14" s="136"/>
    </row>
    <row r="15" spans="1:9" ht="19.5" customHeight="1">
      <c r="A15" s="56">
        <v>11</v>
      </c>
      <c r="B15" s="59" t="s">
        <v>456</v>
      </c>
      <c r="C15" s="56" t="s">
        <v>222</v>
      </c>
      <c r="D15" s="56">
        <v>30</v>
      </c>
      <c r="E15" s="197">
        <f>Dungcu_C_QLBĐ!E27</f>
        <v>40000</v>
      </c>
      <c r="F15" s="197">
        <f t="shared" si="0"/>
        <v>51.282051282051285</v>
      </c>
      <c r="G15" s="56">
        <v>1.6</v>
      </c>
      <c r="H15" s="155">
        <f t="shared" si="1"/>
        <v>82.05128205128206</v>
      </c>
      <c r="I15" s="136"/>
    </row>
    <row r="16" spans="1:9" ht="19.5" customHeight="1">
      <c r="A16" s="56">
        <v>12</v>
      </c>
      <c r="B16" s="59" t="s">
        <v>223</v>
      </c>
      <c r="C16" s="56" t="s">
        <v>199</v>
      </c>
      <c r="D16" s="56">
        <v>60</v>
      </c>
      <c r="E16" s="197">
        <f>Dungcu_C_QLBĐ!E28</f>
        <v>1200000</v>
      </c>
      <c r="F16" s="197">
        <f t="shared" si="0"/>
        <v>769.2307692307693</v>
      </c>
      <c r="G16" s="56">
        <v>0.1</v>
      </c>
      <c r="H16" s="155">
        <f t="shared" si="1"/>
        <v>76.92307692307693</v>
      </c>
      <c r="I16" s="136"/>
    </row>
    <row r="17" spans="1:9" ht="19.5" customHeight="1">
      <c r="A17" s="56">
        <v>13</v>
      </c>
      <c r="B17" s="59" t="s">
        <v>249</v>
      </c>
      <c r="C17" s="56" t="s">
        <v>199</v>
      </c>
      <c r="D17" s="56">
        <v>60</v>
      </c>
      <c r="E17" s="197">
        <f>Dungcu_C_QLBĐ!E29</f>
        <v>1500000</v>
      </c>
      <c r="F17" s="197">
        <f t="shared" si="0"/>
        <v>961.5384615384615</v>
      </c>
      <c r="G17" s="56">
        <v>0.01</v>
      </c>
      <c r="H17" s="155">
        <f t="shared" si="1"/>
        <v>9.615384615384615</v>
      </c>
      <c r="I17" s="136"/>
    </row>
    <row r="18" spans="1:9" ht="19.5" customHeight="1">
      <c r="A18" s="56">
        <v>14</v>
      </c>
      <c r="B18" s="59" t="s">
        <v>227</v>
      </c>
      <c r="C18" s="56" t="s">
        <v>199</v>
      </c>
      <c r="D18" s="56">
        <v>36</v>
      </c>
      <c r="E18" s="197">
        <f>Dungcu_C_QLBĐ!E30</f>
        <v>300000</v>
      </c>
      <c r="F18" s="197">
        <f t="shared" si="0"/>
        <v>320.5128205128205</v>
      </c>
      <c r="G18" s="56">
        <v>0.27</v>
      </c>
      <c r="H18" s="155">
        <f t="shared" si="1"/>
        <v>86.53846153846153</v>
      </c>
      <c r="I18" s="136"/>
    </row>
    <row r="19" spans="1:9" ht="19.5" customHeight="1">
      <c r="A19" s="56">
        <v>15</v>
      </c>
      <c r="B19" s="59" t="s">
        <v>228</v>
      </c>
      <c r="C19" s="56" t="s">
        <v>199</v>
      </c>
      <c r="D19" s="56">
        <v>36</v>
      </c>
      <c r="E19" s="197">
        <f>Dungcu_C_QLBĐ!E31</f>
        <v>550000</v>
      </c>
      <c r="F19" s="197">
        <f t="shared" si="0"/>
        <v>587.6068376068376</v>
      </c>
      <c r="G19" s="56">
        <v>0.27</v>
      </c>
      <c r="H19" s="155">
        <f t="shared" si="1"/>
        <v>158.65384615384616</v>
      </c>
      <c r="I19" s="136"/>
    </row>
    <row r="20" spans="1:9" ht="19.5" customHeight="1">
      <c r="A20" s="101">
        <v>16</v>
      </c>
      <c r="B20" s="102" t="s">
        <v>229</v>
      </c>
      <c r="C20" s="101" t="s">
        <v>230</v>
      </c>
      <c r="D20" s="101"/>
      <c r="E20" s="198">
        <f>Dungcu_C_QLBĐ!E32</f>
        <v>1725</v>
      </c>
      <c r="F20" s="198">
        <f>E20</f>
        <v>1725</v>
      </c>
      <c r="G20" s="101">
        <v>2.66</v>
      </c>
      <c r="H20" s="167">
        <f t="shared" si="1"/>
        <v>4588.5</v>
      </c>
      <c r="I20" s="136"/>
    </row>
    <row r="21" spans="1:8" ht="19.5" customHeight="1">
      <c r="A21" s="51"/>
      <c r="B21" s="361" t="s">
        <v>251</v>
      </c>
      <c r="C21" s="361"/>
      <c r="D21" s="361"/>
      <c r="E21" s="361"/>
      <c r="F21" s="361"/>
      <c r="G21" s="361"/>
      <c r="H21" s="53">
        <f>SUM(H5:H19)*1.05+H20</f>
        <v>7754.822115384615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28">
      <selection activeCell="E31" sqref="E31"/>
    </sheetView>
  </sheetViews>
  <sheetFormatPr defaultColWidth="9.140625" defaultRowHeight="19.5" customHeight="1"/>
  <cols>
    <col min="1" max="1" width="7.00390625" style="136" customWidth="1"/>
    <col min="2" max="2" width="36.00390625" style="136" customWidth="1"/>
    <col min="3" max="3" width="9.140625" style="136" customWidth="1"/>
    <col min="4" max="4" width="13.7109375" style="136" customWidth="1"/>
    <col min="5" max="5" width="11.8515625" style="353" customWidth="1"/>
    <col min="6" max="6" width="10.140625" style="136" customWidth="1"/>
    <col min="7" max="7" width="9.140625" style="136" customWidth="1"/>
    <col min="8" max="8" width="11.421875" style="136" customWidth="1"/>
    <col min="9" max="16384" width="9.140625" style="136" customWidth="1"/>
  </cols>
  <sheetData>
    <row r="1" spans="1:8" ht="19.5" customHeight="1">
      <c r="A1" s="458" t="s">
        <v>243</v>
      </c>
      <c r="B1" s="458"/>
      <c r="C1" s="458"/>
      <c r="D1" s="458"/>
      <c r="E1" s="458"/>
      <c r="F1" s="458"/>
      <c r="G1" s="458"/>
      <c r="H1" s="458"/>
    </row>
    <row r="2" spans="1:8" ht="19.5" customHeight="1">
      <c r="A2" s="458" t="s">
        <v>588</v>
      </c>
      <c r="B2" s="458"/>
      <c r="C2" s="458"/>
      <c r="D2" s="458"/>
      <c r="E2" s="458"/>
      <c r="F2" s="458"/>
      <c r="G2" s="458"/>
      <c r="H2" s="458"/>
    </row>
    <row r="4" spans="1:8" ht="30" customHeight="1">
      <c r="A4" s="133" t="s">
        <v>238</v>
      </c>
      <c r="B4" s="133" t="s">
        <v>191</v>
      </c>
      <c r="C4" s="133" t="s">
        <v>192</v>
      </c>
      <c r="D4" s="133" t="s">
        <v>193</v>
      </c>
      <c r="E4" s="183" t="s">
        <v>194</v>
      </c>
      <c r="F4" s="183" t="s">
        <v>252</v>
      </c>
      <c r="G4" s="133" t="s">
        <v>245</v>
      </c>
      <c r="H4" s="134" t="s">
        <v>197</v>
      </c>
    </row>
    <row r="5" spans="1:8" ht="19.5" customHeight="1">
      <c r="A5" s="96">
        <v>1</v>
      </c>
      <c r="B5" s="320" t="s">
        <v>246</v>
      </c>
      <c r="C5" s="96" t="s">
        <v>199</v>
      </c>
      <c r="D5" s="96">
        <v>9</v>
      </c>
      <c r="E5" s="196">
        <f>Dungcu_C_BSTL!E5</f>
        <v>150000</v>
      </c>
      <c r="F5" s="196">
        <f>E5/(D5*26)</f>
        <v>641.025641025641</v>
      </c>
      <c r="G5" s="96">
        <v>12.8</v>
      </c>
      <c r="H5" s="187">
        <f>F5*G5</f>
        <v>8205.128205128205</v>
      </c>
    </row>
    <row r="6" spans="1:8" ht="19.5" customHeight="1">
      <c r="A6" s="56">
        <v>2</v>
      </c>
      <c r="B6" s="59" t="s">
        <v>200</v>
      </c>
      <c r="C6" s="56" t="s">
        <v>201</v>
      </c>
      <c r="D6" s="56">
        <v>6</v>
      </c>
      <c r="E6" s="197">
        <f>Dungcu_C_BSTL!E6</f>
        <v>20000</v>
      </c>
      <c r="F6" s="197">
        <f aca="true" t="shared" si="0" ref="F6:F31">E6/(D6*26)</f>
        <v>128.2051282051282</v>
      </c>
      <c r="G6" s="56">
        <v>12.8</v>
      </c>
      <c r="H6" s="155">
        <f aca="true" t="shared" si="1" ref="H6:H32">F6*G6</f>
        <v>1641.025641025641</v>
      </c>
    </row>
    <row r="7" spans="1:8" ht="19.5" customHeight="1">
      <c r="A7" s="56">
        <v>3</v>
      </c>
      <c r="B7" s="59" t="s">
        <v>202</v>
      </c>
      <c r="C7" s="56" t="s">
        <v>199</v>
      </c>
      <c r="D7" s="56">
        <v>36</v>
      </c>
      <c r="E7" s="197">
        <f>Dungcu_C_BSTL!E7</f>
        <v>30000</v>
      </c>
      <c r="F7" s="197">
        <f t="shared" si="0"/>
        <v>32.05128205128205</v>
      </c>
      <c r="G7" s="56">
        <v>0.02</v>
      </c>
      <c r="H7" s="155">
        <f t="shared" si="1"/>
        <v>0.6410256410256411</v>
      </c>
    </row>
    <row r="8" spans="1:8" ht="19.5" customHeight="1">
      <c r="A8" s="56">
        <v>4</v>
      </c>
      <c r="B8" s="59" t="s">
        <v>247</v>
      </c>
      <c r="C8" s="56" t="s">
        <v>199</v>
      </c>
      <c r="D8" s="56">
        <v>60</v>
      </c>
      <c r="E8" s="197">
        <f>Dungcu_C_BSTL!E9</f>
        <v>1200000</v>
      </c>
      <c r="F8" s="197">
        <f t="shared" si="0"/>
        <v>769.2307692307693</v>
      </c>
      <c r="G8" s="56">
        <v>12.8</v>
      </c>
      <c r="H8" s="155">
        <f t="shared" si="1"/>
        <v>9846.153846153848</v>
      </c>
    </row>
    <row r="9" spans="1:8" ht="19.5" customHeight="1">
      <c r="A9" s="56">
        <v>5</v>
      </c>
      <c r="B9" s="59" t="s">
        <v>205</v>
      </c>
      <c r="C9" s="56" t="s">
        <v>199</v>
      </c>
      <c r="D9" s="56">
        <v>48</v>
      </c>
      <c r="E9" s="197">
        <f>Dungcu_C_BSTL!E10</f>
        <v>2200000</v>
      </c>
      <c r="F9" s="197">
        <f t="shared" si="0"/>
        <v>1762.820512820513</v>
      </c>
      <c r="G9" s="56">
        <v>12.8</v>
      </c>
      <c r="H9" s="155">
        <f t="shared" si="1"/>
        <v>22564.102564102566</v>
      </c>
    </row>
    <row r="10" spans="1:8" ht="19.5" customHeight="1">
      <c r="A10" s="56">
        <v>6</v>
      </c>
      <c r="B10" s="59" t="s">
        <v>206</v>
      </c>
      <c r="C10" s="56" t="s">
        <v>199</v>
      </c>
      <c r="D10" s="56">
        <v>1</v>
      </c>
      <c r="E10" s="197">
        <f>Dungcu_C_BSTL!E11</f>
        <v>3000</v>
      </c>
      <c r="F10" s="197">
        <f t="shared" si="0"/>
        <v>115.38461538461539</v>
      </c>
      <c r="G10" s="56">
        <v>0.5</v>
      </c>
      <c r="H10" s="155">
        <f t="shared" si="1"/>
        <v>57.69230769230769</v>
      </c>
    </row>
    <row r="11" spans="1:8" ht="19.5" customHeight="1">
      <c r="A11" s="56">
        <v>7</v>
      </c>
      <c r="B11" s="59" t="s">
        <v>207</v>
      </c>
      <c r="C11" s="56" t="s">
        <v>199</v>
      </c>
      <c r="D11" s="56">
        <v>1</v>
      </c>
      <c r="E11" s="197">
        <f>Dungcu_C_BSTL!E12</f>
        <v>6000</v>
      </c>
      <c r="F11" s="197">
        <f t="shared" si="0"/>
        <v>230.76923076923077</v>
      </c>
      <c r="G11" s="56">
        <v>0.5</v>
      </c>
      <c r="H11" s="155">
        <f t="shared" si="1"/>
        <v>115.38461538461539</v>
      </c>
    </row>
    <row r="12" spans="1:8" ht="19.5" customHeight="1">
      <c r="A12" s="56">
        <v>8</v>
      </c>
      <c r="B12" s="59" t="s">
        <v>208</v>
      </c>
      <c r="C12" s="56" t="s">
        <v>199</v>
      </c>
      <c r="D12" s="56">
        <v>2</v>
      </c>
      <c r="E12" s="197">
        <f>Dungcu_C_BSTL!E13</f>
        <v>12000</v>
      </c>
      <c r="F12" s="197">
        <f t="shared" si="0"/>
        <v>230.76923076923077</v>
      </c>
      <c r="G12" s="56">
        <v>0.05</v>
      </c>
      <c r="H12" s="155">
        <f t="shared" si="1"/>
        <v>11.53846153846154</v>
      </c>
    </row>
    <row r="13" spans="1:8" ht="19.5" customHeight="1">
      <c r="A13" s="56">
        <v>9</v>
      </c>
      <c r="B13" s="59" t="s">
        <v>210</v>
      </c>
      <c r="C13" s="56" t="s">
        <v>199</v>
      </c>
      <c r="D13" s="56">
        <v>36</v>
      </c>
      <c r="E13" s="197">
        <f>Dungcu_C_BSTL!E15</f>
        <v>120000</v>
      </c>
      <c r="F13" s="197">
        <f t="shared" si="0"/>
        <v>128.2051282051282</v>
      </c>
      <c r="G13" s="56">
        <v>3.2</v>
      </c>
      <c r="H13" s="155">
        <f t="shared" si="1"/>
        <v>410.2564102564103</v>
      </c>
    </row>
    <row r="14" spans="1:8" ht="19.5" customHeight="1">
      <c r="A14" s="56">
        <v>10</v>
      </c>
      <c r="B14" s="59" t="s">
        <v>211</v>
      </c>
      <c r="C14" s="56" t="s">
        <v>199</v>
      </c>
      <c r="D14" s="56">
        <v>12</v>
      </c>
      <c r="E14" s="197">
        <f>Dungcu_C_BSTL!E15</f>
        <v>120000</v>
      </c>
      <c r="F14" s="197">
        <f t="shared" si="0"/>
        <v>384.61538461538464</v>
      </c>
      <c r="G14" s="56">
        <v>0.05</v>
      </c>
      <c r="H14" s="155">
        <f t="shared" si="1"/>
        <v>19.230769230769234</v>
      </c>
    </row>
    <row r="15" spans="1:8" ht="19.5" customHeight="1">
      <c r="A15" s="56">
        <v>11</v>
      </c>
      <c r="B15" s="59" t="s">
        <v>212</v>
      </c>
      <c r="C15" s="56" t="s">
        <v>199</v>
      </c>
      <c r="D15" s="56">
        <v>60</v>
      </c>
      <c r="E15" s="197">
        <f>Dungcu_C_BSTL!E17</f>
        <v>4200000</v>
      </c>
      <c r="F15" s="197">
        <f t="shared" si="0"/>
        <v>2692.3076923076924</v>
      </c>
      <c r="G15" s="56">
        <v>3.2</v>
      </c>
      <c r="H15" s="155">
        <f t="shared" si="1"/>
        <v>8615.384615384615</v>
      </c>
    </row>
    <row r="16" spans="1:8" ht="19.5" customHeight="1">
      <c r="A16" s="56">
        <v>12</v>
      </c>
      <c r="B16" s="59" t="s">
        <v>225</v>
      </c>
      <c r="C16" s="56" t="s">
        <v>199</v>
      </c>
      <c r="D16" s="56">
        <v>36</v>
      </c>
      <c r="E16" s="197">
        <f>Dungcu_C_BSTL!E17</f>
        <v>4200000</v>
      </c>
      <c r="F16" s="197">
        <f t="shared" si="0"/>
        <v>4487.179487179487</v>
      </c>
      <c r="G16" s="56">
        <v>0.2</v>
      </c>
      <c r="H16" s="155">
        <f t="shared" si="1"/>
        <v>897.4358974358975</v>
      </c>
    </row>
    <row r="17" spans="1:8" ht="19.5" customHeight="1">
      <c r="A17" s="56">
        <v>13</v>
      </c>
      <c r="B17" s="59" t="s">
        <v>541</v>
      </c>
      <c r="C17" s="56" t="s">
        <v>199</v>
      </c>
      <c r="D17" s="56">
        <v>60</v>
      </c>
      <c r="E17" s="197">
        <f>Dungcu_C_BSTL!E18</f>
        <v>300000</v>
      </c>
      <c r="F17" s="197">
        <f t="shared" si="0"/>
        <v>192.30769230769232</v>
      </c>
      <c r="G17" s="56">
        <v>3.2</v>
      </c>
      <c r="H17" s="155">
        <f t="shared" si="1"/>
        <v>615.3846153846155</v>
      </c>
    </row>
    <row r="18" spans="1:8" ht="19.5" customHeight="1">
      <c r="A18" s="56">
        <v>14</v>
      </c>
      <c r="B18" s="59" t="s">
        <v>213</v>
      </c>
      <c r="C18" s="56" t="s">
        <v>199</v>
      </c>
      <c r="D18" s="56">
        <v>60</v>
      </c>
      <c r="E18" s="197">
        <f>Dungcu_C_BSTL!E19</f>
        <v>3000000</v>
      </c>
      <c r="F18" s="197">
        <f t="shared" si="0"/>
        <v>1923.076923076923</v>
      </c>
      <c r="G18" s="56">
        <v>3.2</v>
      </c>
      <c r="H18" s="155">
        <f t="shared" si="1"/>
        <v>6153.846153846154</v>
      </c>
    </row>
    <row r="19" spans="1:8" ht="19.5" customHeight="1">
      <c r="A19" s="56">
        <v>15</v>
      </c>
      <c r="B19" s="59" t="s">
        <v>215</v>
      </c>
      <c r="C19" s="56" t="s">
        <v>199</v>
      </c>
      <c r="D19" s="56">
        <v>12</v>
      </c>
      <c r="E19" s="197">
        <f>Dungcu_C_BSTL!E22</f>
        <v>325000</v>
      </c>
      <c r="F19" s="197">
        <f t="shared" si="0"/>
        <v>1041.6666666666667</v>
      </c>
      <c r="G19" s="56">
        <v>3.2</v>
      </c>
      <c r="H19" s="155">
        <f t="shared" si="1"/>
        <v>3333.333333333334</v>
      </c>
    </row>
    <row r="20" spans="1:8" ht="19.5" customHeight="1">
      <c r="A20" s="56">
        <v>16</v>
      </c>
      <c r="B20" s="59" t="s">
        <v>216</v>
      </c>
      <c r="C20" s="56" t="s">
        <v>199</v>
      </c>
      <c r="D20" s="56">
        <v>60</v>
      </c>
      <c r="E20" s="197">
        <f>Dungcu_C_BSTL!E21</f>
        <v>30000</v>
      </c>
      <c r="F20" s="197">
        <f t="shared" si="0"/>
        <v>19.23076923076923</v>
      </c>
      <c r="G20" s="56">
        <v>12.8</v>
      </c>
      <c r="H20" s="155">
        <f t="shared" si="1"/>
        <v>246.15384615384616</v>
      </c>
    </row>
    <row r="21" spans="1:8" ht="19.5" customHeight="1">
      <c r="A21" s="56">
        <v>17</v>
      </c>
      <c r="B21" s="59" t="s">
        <v>217</v>
      </c>
      <c r="C21" s="56" t="s">
        <v>199</v>
      </c>
      <c r="D21" s="56">
        <v>4</v>
      </c>
      <c r="E21" s="197">
        <f>Dungcu_C_BSTL!E24</f>
        <v>180000</v>
      </c>
      <c r="F21" s="197">
        <f t="shared" si="0"/>
        <v>1730.7692307692307</v>
      </c>
      <c r="G21" s="56">
        <v>9.6</v>
      </c>
      <c r="H21" s="155">
        <f t="shared" si="1"/>
        <v>16615.384615384613</v>
      </c>
    </row>
    <row r="22" spans="1:8" ht="19.5" customHeight="1">
      <c r="A22" s="56">
        <v>18</v>
      </c>
      <c r="B22" s="59" t="s">
        <v>218</v>
      </c>
      <c r="C22" s="56" t="s">
        <v>199</v>
      </c>
      <c r="D22" s="56">
        <v>12</v>
      </c>
      <c r="E22" s="197">
        <f>Dungcu_C_BSTL!E25</f>
        <v>600000</v>
      </c>
      <c r="F22" s="197">
        <f t="shared" si="0"/>
        <v>1923.076923076923</v>
      </c>
      <c r="G22" s="56">
        <v>9.6</v>
      </c>
      <c r="H22" s="155">
        <f t="shared" si="1"/>
        <v>18461.53846153846</v>
      </c>
    </row>
    <row r="23" spans="1:8" ht="19.5" customHeight="1">
      <c r="A23" s="56">
        <v>19</v>
      </c>
      <c r="B23" s="59" t="s">
        <v>528</v>
      </c>
      <c r="C23" s="56" t="s">
        <v>199</v>
      </c>
      <c r="D23" s="56">
        <v>60</v>
      </c>
      <c r="E23" s="355">
        <f>Dungcu_C_BSTL!E26</f>
        <v>300000</v>
      </c>
      <c r="F23" s="197">
        <f t="shared" si="0"/>
        <v>192.30769230769232</v>
      </c>
      <c r="G23" s="56">
        <v>0.5</v>
      </c>
      <c r="H23" s="155">
        <f t="shared" si="1"/>
        <v>96.15384615384616</v>
      </c>
    </row>
    <row r="24" spans="1:8" ht="19.5" customHeight="1">
      <c r="A24" s="56">
        <v>20</v>
      </c>
      <c r="B24" s="59" t="s">
        <v>529</v>
      </c>
      <c r="C24" s="56" t="s">
        <v>199</v>
      </c>
      <c r="D24" s="56">
        <v>48</v>
      </c>
      <c r="E24" s="355">
        <f>Dungcu_C_BSTL!E27</f>
        <v>100000</v>
      </c>
      <c r="F24" s="197">
        <f t="shared" si="0"/>
        <v>80.12820512820512</v>
      </c>
      <c r="G24" s="56">
        <v>0.1</v>
      </c>
      <c r="H24" s="155">
        <f t="shared" si="1"/>
        <v>8.012820512820513</v>
      </c>
    </row>
    <row r="25" spans="1:8" ht="19.5" customHeight="1">
      <c r="A25" s="56">
        <v>21</v>
      </c>
      <c r="B25" s="59" t="s">
        <v>530</v>
      </c>
      <c r="C25" s="56" t="s">
        <v>531</v>
      </c>
      <c r="D25" s="56">
        <v>3</v>
      </c>
      <c r="E25" s="355">
        <f>Dungcu_C_BSTL!E28</f>
        <v>50000</v>
      </c>
      <c r="F25" s="197">
        <f t="shared" si="0"/>
        <v>641.025641025641</v>
      </c>
      <c r="G25" s="56">
        <v>3.2</v>
      </c>
      <c r="H25" s="155">
        <f t="shared" si="1"/>
        <v>2051.2820512820513</v>
      </c>
    </row>
    <row r="26" spans="1:8" ht="19.5" customHeight="1">
      <c r="A26" s="56">
        <v>22</v>
      </c>
      <c r="B26" s="59" t="s">
        <v>455</v>
      </c>
      <c r="C26" s="56" t="s">
        <v>199</v>
      </c>
      <c r="D26" s="56">
        <v>12</v>
      </c>
      <c r="E26" s="197">
        <f>Dungcu_C_BSTL!E29</f>
        <v>30000</v>
      </c>
      <c r="F26" s="197">
        <f t="shared" si="0"/>
        <v>96.15384615384616</v>
      </c>
      <c r="G26" s="56">
        <v>3.2</v>
      </c>
      <c r="H26" s="155">
        <f t="shared" si="1"/>
        <v>307.69230769230774</v>
      </c>
    </row>
    <row r="27" spans="1:8" ht="19.5" customHeight="1">
      <c r="A27" s="56">
        <v>23</v>
      </c>
      <c r="B27" s="59" t="s">
        <v>456</v>
      </c>
      <c r="C27" s="56" t="s">
        <v>222</v>
      </c>
      <c r="D27" s="56">
        <v>30</v>
      </c>
      <c r="E27" s="355">
        <f>Dungcu_C_BSTL!E30</f>
        <v>40000</v>
      </c>
      <c r="F27" s="197">
        <f t="shared" si="0"/>
        <v>51.282051282051285</v>
      </c>
      <c r="G27" s="56">
        <v>12.8</v>
      </c>
      <c r="H27" s="155">
        <f t="shared" si="1"/>
        <v>656.4102564102565</v>
      </c>
    </row>
    <row r="28" spans="1:8" ht="19.5" customHeight="1">
      <c r="A28" s="56">
        <v>24</v>
      </c>
      <c r="B28" s="59" t="s">
        <v>223</v>
      </c>
      <c r="C28" s="56" t="s">
        <v>199</v>
      </c>
      <c r="D28" s="56">
        <v>60</v>
      </c>
      <c r="E28" s="197">
        <f>Dungcu_C_BSTL!E33</f>
        <v>1200000</v>
      </c>
      <c r="F28" s="197">
        <f t="shared" si="0"/>
        <v>769.2307692307693</v>
      </c>
      <c r="G28" s="56">
        <v>0.8</v>
      </c>
      <c r="H28" s="155">
        <f t="shared" si="1"/>
        <v>615.3846153846155</v>
      </c>
    </row>
    <row r="29" spans="1:8" ht="19.5" customHeight="1">
      <c r="A29" s="56">
        <v>25</v>
      </c>
      <c r="B29" s="59" t="s">
        <v>249</v>
      </c>
      <c r="C29" s="56" t="s">
        <v>199</v>
      </c>
      <c r="D29" s="56">
        <v>60</v>
      </c>
      <c r="E29" s="197">
        <f>Dungcu_C_BSTL!E34</f>
        <v>1500000</v>
      </c>
      <c r="F29" s="197">
        <f t="shared" si="0"/>
        <v>961.5384615384615</v>
      </c>
      <c r="G29" s="56">
        <v>0.1</v>
      </c>
      <c r="H29" s="155">
        <f t="shared" si="1"/>
        <v>96.15384615384616</v>
      </c>
    </row>
    <row r="30" spans="1:8" ht="19.5" customHeight="1">
      <c r="A30" s="56">
        <v>26</v>
      </c>
      <c r="B30" s="59" t="s">
        <v>227</v>
      </c>
      <c r="C30" s="56" t="s">
        <v>199</v>
      </c>
      <c r="D30" s="56">
        <v>36</v>
      </c>
      <c r="E30" s="197">
        <f>Dungcu_C_BSTL!E31</f>
        <v>300000</v>
      </c>
      <c r="F30" s="197">
        <f t="shared" si="0"/>
        <v>320.5128205128205</v>
      </c>
      <c r="G30" s="56">
        <v>2.14</v>
      </c>
      <c r="H30" s="155">
        <f t="shared" si="1"/>
        <v>685.8974358974359</v>
      </c>
    </row>
    <row r="31" spans="1:8" ht="19.5" customHeight="1">
      <c r="A31" s="56">
        <v>37</v>
      </c>
      <c r="B31" s="59" t="s">
        <v>228</v>
      </c>
      <c r="C31" s="56" t="s">
        <v>199</v>
      </c>
      <c r="D31" s="56">
        <v>36</v>
      </c>
      <c r="E31" s="197">
        <f>Dungcu_C_BSTL!E32</f>
        <v>550000</v>
      </c>
      <c r="F31" s="197">
        <f t="shared" si="0"/>
        <v>587.6068376068376</v>
      </c>
      <c r="G31" s="56">
        <v>2.14</v>
      </c>
      <c r="H31" s="155">
        <f t="shared" si="1"/>
        <v>1257.4786324786326</v>
      </c>
    </row>
    <row r="32" spans="1:8" ht="19.5" customHeight="1">
      <c r="A32" s="101">
        <v>38</v>
      </c>
      <c r="B32" s="102" t="s">
        <v>229</v>
      </c>
      <c r="C32" s="101" t="s">
        <v>230</v>
      </c>
      <c r="D32" s="101"/>
      <c r="E32" s="356">
        <f>Dungcu_C_BSTL!E35</f>
        <v>1725</v>
      </c>
      <c r="F32" s="198">
        <f>E32</f>
        <v>1725</v>
      </c>
      <c r="G32" s="101">
        <v>21.52</v>
      </c>
      <c r="H32" s="167">
        <f t="shared" si="1"/>
        <v>37122</v>
      </c>
    </row>
    <row r="33" spans="1:8" ht="19.5" customHeight="1">
      <c r="A33" s="52"/>
      <c r="B33" s="134" t="s">
        <v>251</v>
      </c>
      <c r="C33" s="52"/>
      <c r="D33" s="52"/>
      <c r="E33" s="354"/>
      <c r="F33" s="52"/>
      <c r="G33" s="52"/>
      <c r="H33" s="53">
        <f>SUM(H5:H31)*1.05+H32</f>
        <v>145885.28525641025</v>
      </c>
    </row>
    <row r="35" spans="1:6" ht="19.5" customHeight="1">
      <c r="A35" s="450" t="s">
        <v>557</v>
      </c>
      <c r="B35" s="450"/>
      <c r="C35" s="450"/>
      <c r="D35" s="450"/>
      <c r="E35" s="450"/>
      <c r="F35" s="390"/>
    </row>
    <row r="36" spans="1:5" ht="19.5" customHeight="1">
      <c r="A36" s="133" t="s">
        <v>238</v>
      </c>
      <c r="B36" s="133" t="s">
        <v>239</v>
      </c>
      <c r="C36" s="133" t="s">
        <v>192</v>
      </c>
      <c r="D36" s="133" t="s">
        <v>240</v>
      </c>
      <c r="E36" s="351" t="s">
        <v>197</v>
      </c>
    </row>
    <row r="37" spans="1:5" ht="19.5" customHeight="1">
      <c r="A37" s="96"/>
      <c r="B37" s="97" t="s">
        <v>180</v>
      </c>
      <c r="C37" s="97"/>
      <c r="D37" s="96"/>
      <c r="E37" s="359">
        <f>H33</f>
        <v>145885.28525641025</v>
      </c>
    </row>
    <row r="38" spans="1:5" ht="19.5" customHeight="1">
      <c r="A38" s="56">
        <v>1</v>
      </c>
      <c r="B38" s="57" t="s">
        <v>542</v>
      </c>
      <c r="C38" s="56" t="s">
        <v>466</v>
      </c>
      <c r="D38" s="56">
        <v>1</v>
      </c>
      <c r="E38" s="157">
        <f>D38*E37</f>
        <v>145885.28525641025</v>
      </c>
    </row>
    <row r="39" spans="1:5" ht="19.5" customHeight="1">
      <c r="A39" s="56">
        <v>2</v>
      </c>
      <c r="B39" s="57" t="s">
        <v>543</v>
      </c>
      <c r="C39" s="56" t="s">
        <v>466</v>
      </c>
      <c r="D39" s="56">
        <v>1</v>
      </c>
      <c r="E39" s="157">
        <f>D39*E38</f>
        <v>145885.28525641025</v>
      </c>
    </row>
    <row r="40" spans="1:5" ht="19.5" customHeight="1">
      <c r="A40" s="101">
        <v>3</v>
      </c>
      <c r="B40" s="310" t="s">
        <v>544</v>
      </c>
      <c r="C40" s="101" t="s">
        <v>466</v>
      </c>
      <c r="D40" s="101">
        <v>0.81</v>
      </c>
      <c r="E40" s="166">
        <f>D40*E39</f>
        <v>118167.08105769231</v>
      </c>
    </row>
    <row r="41" spans="1:5" ht="19.5" customHeight="1">
      <c r="A41" s="321">
        <v>4</v>
      </c>
      <c r="B41" s="322" t="s">
        <v>538</v>
      </c>
      <c r="C41" s="321" t="s">
        <v>466</v>
      </c>
      <c r="D41" s="321">
        <v>0.05</v>
      </c>
      <c r="E41" s="246">
        <f>D41*E40</f>
        <v>5908.354052884616</v>
      </c>
    </row>
  </sheetData>
  <sheetProtection/>
  <mergeCells count="3">
    <mergeCell ref="A1:H1"/>
    <mergeCell ref="A2:H2"/>
    <mergeCell ref="A35:E3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3">
      <selection activeCell="E13" sqref="E13"/>
    </sheetView>
  </sheetViews>
  <sheetFormatPr defaultColWidth="9.140625" defaultRowHeight="19.5" customHeight="1"/>
  <cols>
    <col min="1" max="1" width="6.8515625" style="0" customWidth="1"/>
    <col min="2" max="2" width="36.57421875" style="0" customWidth="1"/>
    <col min="5" max="5" width="10.7109375" style="0" customWidth="1"/>
    <col min="6" max="6" width="11.140625" style="0" customWidth="1"/>
    <col min="8" max="8" width="10.00390625" style="0" customWidth="1"/>
  </cols>
  <sheetData>
    <row r="1" spans="1:6" ht="19.5" customHeight="1">
      <c r="A1" s="458" t="s">
        <v>243</v>
      </c>
      <c r="B1" s="458"/>
      <c r="C1" s="458"/>
      <c r="D1" s="458"/>
      <c r="E1" s="458"/>
      <c r="F1" s="458"/>
    </row>
    <row r="2" spans="1:6" ht="19.5" customHeight="1">
      <c r="A2" s="458" t="s">
        <v>534</v>
      </c>
      <c r="B2" s="458"/>
      <c r="C2" s="458"/>
      <c r="D2" s="458"/>
      <c r="E2" s="458"/>
      <c r="F2" s="458"/>
    </row>
    <row r="4" spans="1:8" ht="19.5" customHeight="1">
      <c r="A4" s="133" t="s">
        <v>238</v>
      </c>
      <c r="B4" s="133" t="s">
        <v>191</v>
      </c>
      <c r="C4" s="133" t="s">
        <v>192</v>
      </c>
      <c r="D4" s="133" t="s">
        <v>193</v>
      </c>
      <c r="E4" s="183" t="s">
        <v>194</v>
      </c>
      <c r="F4" s="183" t="s">
        <v>252</v>
      </c>
      <c r="G4" s="133" t="s">
        <v>245</v>
      </c>
      <c r="H4" s="134" t="s">
        <v>197</v>
      </c>
    </row>
    <row r="5" spans="1:8" ht="19.5" customHeight="1">
      <c r="A5" s="96">
        <v>1</v>
      </c>
      <c r="B5" s="320" t="s">
        <v>246</v>
      </c>
      <c r="C5" s="96" t="s">
        <v>199</v>
      </c>
      <c r="D5" s="96">
        <v>9</v>
      </c>
      <c r="E5" s="98">
        <f>Dungcu_B_BQ_CC!E4</f>
        <v>150000</v>
      </c>
      <c r="F5" s="98">
        <f>E5/(D5*26)</f>
        <v>641.025641025641</v>
      </c>
      <c r="G5" s="96">
        <v>1.6</v>
      </c>
      <c r="H5" s="98">
        <f>F5*G5</f>
        <v>1025.6410256410256</v>
      </c>
    </row>
    <row r="6" spans="1:8" ht="19.5" customHeight="1">
      <c r="A6" s="56">
        <v>2</v>
      </c>
      <c r="B6" s="59" t="s">
        <v>200</v>
      </c>
      <c r="C6" s="56" t="s">
        <v>201</v>
      </c>
      <c r="D6" s="56">
        <v>6</v>
      </c>
      <c r="E6" s="99">
        <f>Dungcu_B_BQ_CC!E6</f>
        <v>20000</v>
      </c>
      <c r="F6" s="99">
        <f aca="true" t="shared" si="0" ref="F6:F34">E6/(D6*26)</f>
        <v>128.2051282051282</v>
      </c>
      <c r="G6" s="56">
        <v>1.6</v>
      </c>
      <c r="H6" s="99">
        <f aca="true" t="shared" si="1" ref="H6:H35">F6*G6</f>
        <v>205.12820512820514</v>
      </c>
    </row>
    <row r="7" spans="1:8" ht="19.5" customHeight="1">
      <c r="A7" s="56">
        <v>3</v>
      </c>
      <c r="B7" s="59" t="s">
        <v>202</v>
      </c>
      <c r="C7" s="56" t="s">
        <v>199</v>
      </c>
      <c r="D7" s="56">
        <v>36</v>
      </c>
      <c r="E7" s="99">
        <f>Dungcu_B_BQ_CC!E7</f>
        <v>30000</v>
      </c>
      <c r="F7" s="99">
        <f t="shared" si="0"/>
        <v>32.05128205128205</v>
      </c>
      <c r="G7" s="56">
        <v>0.01</v>
      </c>
      <c r="H7" s="99">
        <f t="shared" si="1"/>
        <v>0.32051282051282054</v>
      </c>
    </row>
    <row r="8" spans="1:8" ht="19.5" customHeight="1">
      <c r="A8" s="56">
        <v>4</v>
      </c>
      <c r="B8" s="59" t="s">
        <v>203</v>
      </c>
      <c r="C8" s="56" t="s">
        <v>199</v>
      </c>
      <c r="D8" s="56">
        <v>48</v>
      </c>
      <c r="E8" s="99">
        <f>Dungcu_B_BQ_CC!E8</f>
        <v>40000</v>
      </c>
      <c r="F8" s="99">
        <f t="shared" si="0"/>
        <v>32.05128205128205</v>
      </c>
      <c r="G8" s="56">
        <v>0.01</v>
      </c>
      <c r="H8" s="99">
        <f t="shared" si="1"/>
        <v>0.32051282051282054</v>
      </c>
    </row>
    <row r="9" spans="1:8" ht="19.5" customHeight="1">
      <c r="A9" s="56">
        <v>5</v>
      </c>
      <c r="B9" s="59" t="s">
        <v>247</v>
      </c>
      <c r="C9" s="56" t="s">
        <v>199</v>
      </c>
      <c r="D9" s="56">
        <v>60</v>
      </c>
      <c r="E9" s="99">
        <f>Dungcu_B_BQ_CC!E5</f>
        <v>1200000</v>
      </c>
      <c r="F9" s="99">
        <f t="shared" si="0"/>
        <v>769.2307692307693</v>
      </c>
      <c r="G9" s="56">
        <v>1.6</v>
      </c>
      <c r="H9" s="99">
        <f t="shared" si="1"/>
        <v>1230.769230769231</v>
      </c>
    </row>
    <row r="10" spans="1:8" ht="19.5" customHeight="1">
      <c r="A10" s="56">
        <v>6</v>
      </c>
      <c r="B10" s="59" t="s">
        <v>205</v>
      </c>
      <c r="C10" s="56" t="s">
        <v>199</v>
      </c>
      <c r="D10" s="56">
        <v>48</v>
      </c>
      <c r="E10" s="99">
        <f>Dungcu_B_BQ_CC!E9</f>
        <v>2200000</v>
      </c>
      <c r="F10" s="99">
        <f t="shared" si="0"/>
        <v>1762.820512820513</v>
      </c>
      <c r="G10" s="56">
        <v>1.6</v>
      </c>
      <c r="H10" s="99">
        <f t="shared" si="1"/>
        <v>2820.512820512821</v>
      </c>
    </row>
    <row r="11" spans="1:8" ht="19.5" customHeight="1">
      <c r="A11" s="56">
        <v>7</v>
      </c>
      <c r="B11" s="59" t="s">
        <v>206</v>
      </c>
      <c r="C11" s="56" t="s">
        <v>199</v>
      </c>
      <c r="D11" s="56">
        <v>1</v>
      </c>
      <c r="E11" s="99">
        <f>Dungcu_B_BQ_CC!E10</f>
        <v>3000</v>
      </c>
      <c r="F11" s="99">
        <f t="shared" si="0"/>
        <v>115.38461538461539</v>
      </c>
      <c r="G11" s="56">
        <v>0.1</v>
      </c>
      <c r="H11" s="99">
        <f t="shared" si="1"/>
        <v>11.53846153846154</v>
      </c>
    </row>
    <row r="12" spans="1:8" ht="19.5" customHeight="1">
      <c r="A12" s="56">
        <v>8</v>
      </c>
      <c r="B12" s="59" t="s">
        <v>207</v>
      </c>
      <c r="C12" s="56" t="s">
        <v>199</v>
      </c>
      <c r="D12" s="56">
        <v>1</v>
      </c>
      <c r="E12" s="99">
        <f>Dungcu_B_BQ_CC!E11</f>
        <v>6000</v>
      </c>
      <c r="F12" s="99">
        <f t="shared" si="0"/>
        <v>230.76923076923077</v>
      </c>
      <c r="G12" s="56">
        <v>0.1</v>
      </c>
      <c r="H12" s="99">
        <f t="shared" si="1"/>
        <v>23.07692307692308</v>
      </c>
    </row>
    <row r="13" spans="1:8" ht="19.5" customHeight="1">
      <c r="A13" s="56">
        <v>9</v>
      </c>
      <c r="B13" s="59" t="s">
        <v>208</v>
      </c>
      <c r="C13" s="56" t="s">
        <v>199</v>
      </c>
      <c r="D13" s="56">
        <v>2</v>
      </c>
      <c r="E13" s="99">
        <f>Dungcu_B_BQ_CC!E12</f>
        <v>12000</v>
      </c>
      <c r="F13" s="99">
        <f t="shared" si="0"/>
        <v>230.76923076923077</v>
      </c>
      <c r="G13" s="56">
        <v>0.01</v>
      </c>
      <c r="H13" s="99">
        <f t="shared" si="1"/>
        <v>2.307692307692308</v>
      </c>
    </row>
    <row r="14" spans="1:8" ht="19.5" customHeight="1">
      <c r="A14" s="56">
        <v>10</v>
      </c>
      <c r="B14" s="59" t="s">
        <v>209</v>
      </c>
      <c r="C14" s="56" t="s">
        <v>199</v>
      </c>
      <c r="D14" s="56">
        <v>24</v>
      </c>
      <c r="E14" s="99">
        <f>Dungcu_B_BQ_CC!E13</f>
        <v>200000</v>
      </c>
      <c r="F14" s="99">
        <f t="shared" si="0"/>
        <v>320.5128205128205</v>
      </c>
      <c r="G14" s="56">
        <v>1.6</v>
      </c>
      <c r="H14" s="99">
        <f t="shared" si="1"/>
        <v>512.8205128205128</v>
      </c>
    </row>
    <row r="15" spans="1:8" ht="19.5" customHeight="1">
      <c r="A15" s="56">
        <v>11</v>
      </c>
      <c r="B15" s="59" t="s">
        <v>210</v>
      </c>
      <c r="C15" s="56" t="s">
        <v>199</v>
      </c>
      <c r="D15" s="56">
        <v>36</v>
      </c>
      <c r="E15" s="99">
        <f>Dungcu_B_BQ_CC!E14</f>
        <v>120000</v>
      </c>
      <c r="F15" s="99">
        <f t="shared" si="0"/>
        <v>128.2051282051282</v>
      </c>
      <c r="G15" s="56">
        <v>0.4</v>
      </c>
      <c r="H15" s="99">
        <f t="shared" si="1"/>
        <v>51.282051282051285</v>
      </c>
    </row>
    <row r="16" spans="1:8" ht="19.5" customHeight="1">
      <c r="A16" s="56">
        <v>12</v>
      </c>
      <c r="B16" s="59" t="s">
        <v>211</v>
      </c>
      <c r="C16" s="56" t="s">
        <v>199</v>
      </c>
      <c r="D16" s="56">
        <v>12</v>
      </c>
      <c r="E16" s="99">
        <f>Dungcu_B_BQ_CC!E15</f>
        <v>16000</v>
      </c>
      <c r="F16" s="99">
        <f t="shared" si="0"/>
        <v>51.282051282051285</v>
      </c>
      <c r="G16" s="56">
        <v>0.01</v>
      </c>
      <c r="H16" s="99">
        <f t="shared" si="1"/>
        <v>0.5128205128205129</v>
      </c>
    </row>
    <row r="17" spans="1:8" ht="19.5" customHeight="1">
      <c r="A17" s="56">
        <v>13</v>
      </c>
      <c r="B17" s="59" t="s">
        <v>212</v>
      </c>
      <c r="C17" s="56" t="s">
        <v>199</v>
      </c>
      <c r="D17" s="56">
        <v>60</v>
      </c>
      <c r="E17" s="99">
        <f>Dungcu_A_TN_KT_BG!E17</f>
        <v>4200000</v>
      </c>
      <c r="F17" s="99">
        <f t="shared" si="0"/>
        <v>2692.3076923076924</v>
      </c>
      <c r="G17" s="56">
        <v>0.4</v>
      </c>
      <c r="H17" s="99">
        <f t="shared" si="1"/>
        <v>1076.923076923077</v>
      </c>
    </row>
    <row r="18" spans="1:8" ht="19.5" customHeight="1">
      <c r="A18" s="56">
        <v>14</v>
      </c>
      <c r="B18" s="59" t="s">
        <v>225</v>
      </c>
      <c r="C18" s="56" t="s">
        <v>199</v>
      </c>
      <c r="D18" s="56">
        <v>36</v>
      </c>
      <c r="E18" s="99">
        <f>Dungcu_B_BQ_CC!E16</f>
        <v>300000</v>
      </c>
      <c r="F18" s="99">
        <f t="shared" si="0"/>
        <v>320.5128205128205</v>
      </c>
      <c r="G18" s="56">
        <v>0.1</v>
      </c>
      <c r="H18" s="99">
        <f t="shared" si="1"/>
        <v>32.05128205128205</v>
      </c>
    </row>
    <row r="19" spans="1:8" ht="19.5" customHeight="1">
      <c r="A19" s="56">
        <v>15</v>
      </c>
      <c r="B19" s="59" t="s">
        <v>250</v>
      </c>
      <c r="C19" s="56" t="s">
        <v>199</v>
      </c>
      <c r="D19" s="56">
        <v>60</v>
      </c>
      <c r="E19" s="99">
        <f>Dungcu_B_BQ_CC!E17</f>
        <v>3000000</v>
      </c>
      <c r="F19" s="99">
        <f t="shared" si="0"/>
        <v>1923.076923076923</v>
      </c>
      <c r="G19" s="56">
        <v>0.4</v>
      </c>
      <c r="H19" s="99">
        <f t="shared" si="1"/>
        <v>769.2307692307693</v>
      </c>
    </row>
    <row r="20" spans="1:8" ht="19.5" customHeight="1">
      <c r="A20" s="56">
        <v>16</v>
      </c>
      <c r="B20" s="59" t="s">
        <v>213</v>
      </c>
      <c r="C20" s="56" t="s">
        <v>199</v>
      </c>
      <c r="D20" s="56">
        <v>60</v>
      </c>
      <c r="E20" s="99">
        <f>Dungcu_A_BC!E17</f>
        <v>3200000</v>
      </c>
      <c r="F20" s="99">
        <f t="shared" si="0"/>
        <v>2051.2820512820513</v>
      </c>
      <c r="G20" s="56">
        <v>0.4</v>
      </c>
      <c r="H20" s="99">
        <f t="shared" si="1"/>
        <v>820.5128205128206</v>
      </c>
    </row>
    <row r="21" spans="1:8" ht="19.5" customHeight="1">
      <c r="A21" s="56">
        <v>17</v>
      </c>
      <c r="B21" s="59" t="s">
        <v>454</v>
      </c>
      <c r="C21" s="56" t="s">
        <v>199</v>
      </c>
      <c r="D21" s="56">
        <v>24</v>
      </c>
      <c r="E21" s="115">
        <f>Dungcu_B_BQ_CC!E18</f>
        <v>30000</v>
      </c>
      <c r="F21" s="99">
        <f t="shared" si="0"/>
        <v>48.07692307692308</v>
      </c>
      <c r="G21" s="56">
        <v>0.02</v>
      </c>
      <c r="H21" s="99">
        <f t="shared" si="1"/>
        <v>0.9615384615384617</v>
      </c>
    </row>
    <row r="22" spans="1:8" ht="19.5" customHeight="1">
      <c r="A22" s="56">
        <v>18</v>
      </c>
      <c r="B22" s="59" t="s">
        <v>215</v>
      </c>
      <c r="C22" s="56" t="s">
        <v>199</v>
      </c>
      <c r="D22" s="56">
        <v>12</v>
      </c>
      <c r="E22" s="99">
        <f>Dungcu_B_BQ_CC!E19</f>
        <v>325000</v>
      </c>
      <c r="F22" s="99">
        <f t="shared" si="0"/>
        <v>1041.6666666666667</v>
      </c>
      <c r="G22" s="56">
        <v>0.4</v>
      </c>
      <c r="H22" s="99">
        <f t="shared" si="1"/>
        <v>416.66666666666674</v>
      </c>
    </row>
    <row r="23" spans="1:8" ht="19.5" customHeight="1">
      <c r="A23" s="56">
        <v>19</v>
      </c>
      <c r="B23" s="59" t="s">
        <v>248</v>
      </c>
      <c r="C23" s="56" t="s">
        <v>199</v>
      </c>
      <c r="D23" s="56">
        <v>60</v>
      </c>
      <c r="E23" s="99">
        <f>Dungcu_B_BQ_CC!E20</f>
        <v>1200000</v>
      </c>
      <c r="F23" s="99">
        <f t="shared" si="0"/>
        <v>769.2307692307693</v>
      </c>
      <c r="G23" s="56">
        <v>1.6</v>
      </c>
      <c r="H23" s="99">
        <f t="shared" si="1"/>
        <v>1230.769230769231</v>
      </c>
    </row>
    <row r="24" spans="1:8" ht="19.5" customHeight="1">
      <c r="A24" s="56">
        <v>20</v>
      </c>
      <c r="B24" s="59" t="s">
        <v>217</v>
      </c>
      <c r="C24" s="56" t="s">
        <v>199</v>
      </c>
      <c r="D24" s="56">
        <v>12</v>
      </c>
      <c r="E24" s="99">
        <f>Dungcu_B_BQ_CC!E21</f>
        <v>180000</v>
      </c>
      <c r="F24" s="99">
        <f t="shared" si="0"/>
        <v>576.9230769230769</v>
      </c>
      <c r="G24" s="56">
        <v>0.6</v>
      </c>
      <c r="H24" s="99">
        <f t="shared" si="1"/>
        <v>346.15384615384613</v>
      </c>
    </row>
    <row r="25" spans="1:8" ht="19.5" customHeight="1">
      <c r="A25" s="56">
        <v>21</v>
      </c>
      <c r="B25" s="59" t="s">
        <v>218</v>
      </c>
      <c r="C25" s="56" t="s">
        <v>199</v>
      </c>
      <c r="D25" s="56">
        <v>12</v>
      </c>
      <c r="E25" s="99">
        <f>Dungcu_B_BQ_CC!E22</f>
        <v>600000</v>
      </c>
      <c r="F25" s="99">
        <f t="shared" si="0"/>
        <v>1923.076923076923</v>
      </c>
      <c r="G25" s="56">
        <v>0.6</v>
      </c>
      <c r="H25" s="99">
        <f t="shared" si="1"/>
        <v>1153.8461538461538</v>
      </c>
    </row>
    <row r="26" spans="1:8" ht="19.5" customHeight="1">
      <c r="A26" s="56">
        <v>22</v>
      </c>
      <c r="B26" s="59" t="s">
        <v>528</v>
      </c>
      <c r="C26" s="56" t="s">
        <v>199</v>
      </c>
      <c r="D26" s="56">
        <v>60</v>
      </c>
      <c r="E26" s="99">
        <v>300000</v>
      </c>
      <c r="F26" s="99">
        <f t="shared" si="0"/>
        <v>192.30769230769232</v>
      </c>
      <c r="G26" s="56">
        <v>0.02</v>
      </c>
      <c r="H26" s="99">
        <f t="shared" si="1"/>
        <v>3.8461538461538467</v>
      </c>
    </row>
    <row r="27" spans="1:8" ht="19.5" customHeight="1">
      <c r="A27" s="56">
        <v>23</v>
      </c>
      <c r="B27" s="59" t="s">
        <v>529</v>
      </c>
      <c r="C27" s="56" t="s">
        <v>199</v>
      </c>
      <c r="D27" s="56">
        <v>48</v>
      </c>
      <c r="E27" s="115">
        <v>100000</v>
      </c>
      <c r="F27" s="99">
        <f t="shared" si="0"/>
        <v>80.12820512820512</v>
      </c>
      <c r="G27" s="56">
        <v>0.01</v>
      </c>
      <c r="H27" s="99">
        <f t="shared" si="1"/>
        <v>0.8012820512820512</v>
      </c>
    </row>
    <row r="28" spans="1:8" ht="19.5" customHeight="1">
      <c r="A28" s="56">
        <v>24</v>
      </c>
      <c r="B28" s="59" t="s">
        <v>530</v>
      </c>
      <c r="C28" s="56" t="s">
        <v>531</v>
      </c>
      <c r="D28" s="56">
        <v>3</v>
      </c>
      <c r="E28" s="99">
        <v>50000</v>
      </c>
      <c r="F28" s="99">
        <f t="shared" si="0"/>
        <v>641.025641025641</v>
      </c>
      <c r="G28" s="56">
        <v>0.4</v>
      </c>
      <c r="H28" s="99">
        <f t="shared" si="1"/>
        <v>256.4102564102564</v>
      </c>
    </row>
    <row r="29" spans="1:8" ht="19.5" customHeight="1">
      <c r="A29" s="56">
        <v>25</v>
      </c>
      <c r="B29" s="59" t="s">
        <v>455</v>
      </c>
      <c r="C29" s="56" t="s">
        <v>199</v>
      </c>
      <c r="D29" s="56">
        <v>12</v>
      </c>
      <c r="E29" s="99">
        <f>Dungcu_B_BQ_CC!E24</f>
        <v>30000</v>
      </c>
      <c r="F29" s="99">
        <f t="shared" si="0"/>
        <v>96.15384615384616</v>
      </c>
      <c r="G29" s="56">
        <v>0.4</v>
      </c>
      <c r="H29" s="99">
        <f t="shared" si="1"/>
        <v>38.46153846153847</v>
      </c>
    </row>
    <row r="30" spans="1:8" ht="19.5" customHeight="1">
      <c r="A30" s="56">
        <v>26</v>
      </c>
      <c r="B30" s="59" t="s">
        <v>456</v>
      </c>
      <c r="C30" s="56" t="s">
        <v>222</v>
      </c>
      <c r="D30" s="56">
        <v>30</v>
      </c>
      <c r="E30" s="99">
        <f>40000</f>
        <v>40000</v>
      </c>
      <c r="F30" s="99">
        <f t="shared" si="0"/>
        <v>51.282051282051285</v>
      </c>
      <c r="G30" s="56">
        <v>1.6</v>
      </c>
      <c r="H30" s="99">
        <f t="shared" si="1"/>
        <v>82.05128205128206</v>
      </c>
    </row>
    <row r="31" spans="1:8" ht="19.5" customHeight="1">
      <c r="A31" s="56">
        <v>37</v>
      </c>
      <c r="B31" s="59" t="s">
        <v>227</v>
      </c>
      <c r="C31" s="56" t="s">
        <v>199</v>
      </c>
      <c r="D31" s="56">
        <v>36</v>
      </c>
      <c r="E31" s="99">
        <f>Dungcu_B_BQ_CC!E28</f>
        <v>300000</v>
      </c>
      <c r="F31" s="99">
        <f t="shared" si="0"/>
        <v>320.5128205128205</v>
      </c>
      <c r="G31" s="56">
        <v>0.27</v>
      </c>
      <c r="H31" s="99">
        <f t="shared" si="1"/>
        <v>86.53846153846153</v>
      </c>
    </row>
    <row r="32" spans="1:8" ht="19.5" customHeight="1">
      <c r="A32" s="56">
        <v>38</v>
      </c>
      <c r="B32" s="59" t="s">
        <v>532</v>
      </c>
      <c r="C32" s="56" t="s">
        <v>199</v>
      </c>
      <c r="D32" s="56">
        <v>36</v>
      </c>
      <c r="E32" s="99">
        <f>Dungcu_B_BQ_CC!E29</f>
        <v>550000</v>
      </c>
      <c r="F32" s="99">
        <f t="shared" si="0"/>
        <v>587.6068376068376</v>
      </c>
      <c r="G32" s="56">
        <v>0.27</v>
      </c>
      <c r="H32" s="99">
        <f t="shared" si="1"/>
        <v>158.65384615384616</v>
      </c>
    </row>
    <row r="33" spans="1:8" ht="19.5" customHeight="1">
      <c r="A33" s="56">
        <v>39</v>
      </c>
      <c r="B33" s="59" t="s">
        <v>223</v>
      </c>
      <c r="C33" s="56" t="s">
        <v>199</v>
      </c>
      <c r="D33" s="56">
        <v>60</v>
      </c>
      <c r="E33" s="99">
        <f>Dungcu_B_BQ_CC!E26</f>
        <v>1200000</v>
      </c>
      <c r="F33" s="99">
        <f t="shared" si="0"/>
        <v>769.2307692307693</v>
      </c>
      <c r="G33" s="56">
        <v>0.1</v>
      </c>
      <c r="H33" s="99">
        <f t="shared" si="1"/>
        <v>76.92307692307693</v>
      </c>
    </row>
    <row r="34" spans="1:8" ht="19.5" customHeight="1">
      <c r="A34" s="56">
        <v>40</v>
      </c>
      <c r="B34" s="59" t="s">
        <v>224</v>
      </c>
      <c r="C34" s="56" t="s">
        <v>199</v>
      </c>
      <c r="D34" s="56">
        <v>60</v>
      </c>
      <c r="E34" s="99">
        <f>Dungcu_B_BQ_CC!E27</f>
        <v>1500000</v>
      </c>
      <c r="F34" s="99">
        <f t="shared" si="0"/>
        <v>961.5384615384615</v>
      </c>
      <c r="G34" s="56">
        <v>0.01</v>
      </c>
      <c r="H34" s="99">
        <f t="shared" si="1"/>
        <v>9.615384615384615</v>
      </c>
    </row>
    <row r="35" spans="1:8" ht="19.5" customHeight="1">
      <c r="A35" s="101">
        <v>41</v>
      </c>
      <c r="B35" s="102" t="s">
        <v>229</v>
      </c>
      <c r="C35" s="101" t="s">
        <v>230</v>
      </c>
      <c r="D35" s="101"/>
      <c r="E35" s="104">
        <v>1725</v>
      </c>
      <c r="F35" s="104">
        <f>E35</f>
        <v>1725</v>
      </c>
      <c r="G35" s="101">
        <v>2.68</v>
      </c>
      <c r="H35" s="104">
        <f t="shared" si="1"/>
        <v>4623</v>
      </c>
    </row>
    <row r="36" spans="1:8" ht="19.5" customHeight="1">
      <c r="A36" s="350"/>
      <c r="B36" s="134" t="s">
        <v>251</v>
      </c>
      <c r="C36" s="350"/>
      <c r="D36" s="350"/>
      <c r="E36" s="350"/>
      <c r="F36" s="350"/>
      <c r="G36" s="350"/>
      <c r="H36" s="316">
        <f>SUM(H5:H34)*1.05+H35</f>
        <v>17689.87980769231</v>
      </c>
    </row>
    <row r="38" spans="1:5" ht="19.5" customHeight="1">
      <c r="A38" s="450" t="s">
        <v>557</v>
      </c>
      <c r="B38" s="450"/>
      <c r="C38" s="450"/>
      <c r="D38" s="450"/>
      <c r="E38" s="450"/>
    </row>
    <row r="39" spans="1:5" ht="19.5" customHeight="1">
      <c r="A39" s="300" t="s">
        <v>238</v>
      </c>
      <c r="B39" s="300" t="s">
        <v>239</v>
      </c>
      <c r="C39" s="300" t="s">
        <v>192</v>
      </c>
      <c r="D39" s="300" t="s">
        <v>240</v>
      </c>
      <c r="E39" s="358" t="s">
        <v>197</v>
      </c>
    </row>
    <row r="40" spans="1:5" ht="19.5" customHeight="1">
      <c r="A40" s="56"/>
      <c r="B40" s="57" t="s">
        <v>535</v>
      </c>
      <c r="C40" s="57"/>
      <c r="D40" s="56"/>
      <c r="E40" s="45">
        <f>H36</f>
        <v>17689.87980769231</v>
      </c>
    </row>
    <row r="41" spans="1:5" ht="19.5" customHeight="1">
      <c r="A41" s="56">
        <v>1</v>
      </c>
      <c r="B41" s="57" t="s">
        <v>172</v>
      </c>
      <c r="C41" s="56" t="s">
        <v>466</v>
      </c>
      <c r="D41" s="56">
        <v>2</v>
      </c>
      <c r="E41" s="45">
        <f>D41*E40</f>
        <v>35379.75961538462</v>
      </c>
    </row>
    <row r="42" spans="1:5" ht="19.5" customHeight="1">
      <c r="A42" s="56">
        <v>2</v>
      </c>
      <c r="B42" s="57" t="s">
        <v>173</v>
      </c>
      <c r="C42" s="56" t="s">
        <v>466</v>
      </c>
      <c r="D42" s="56">
        <v>0.5</v>
      </c>
      <c r="E42" s="45">
        <f aca="true" t="shared" si="2" ref="E42:E47">D42*E41</f>
        <v>17689.87980769231</v>
      </c>
    </row>
    <row r="43" spans="1:5" ht="19.5" customHeight="1">
      <c r="A43" s="56">
        <v>3</v>
      </c>
      <c r="B43" s="57" t="s">
        <v>174</v>
      </c>
      <c r="C43" s="56" t="s">
        <v>466</v>
      </c>
      <c r="D43" s="56">
        <v>1</v>
      </c>
      <c r="E43" s="45">
        <f t="shared" si="2"/>
        <v>17689.87980769231</v>
      </c>
    </row>
    <row r="44" spans="1:5" ht="19.5" customHeight="1">
      <c r="A44" s="56">
        <v>4</v>
      </c>
      <c r="B44" s="57" t="s">
        <v>175</v>
      </c>
      <c r="C44" s="56" t="s">
        <v>536</v>
      </c>
      <c r="D44" s="56">
        <v>0.1</v>
      </c>
      <c r="E44" s="45">
        <f t="shared" si="2"/>
        <v>1768.987980769231</v>
      </c>
    </row>
    <row r="45" spans="1:5" ht="19.5" customHeight="1">
      <c r="A45" s="56">
        <v>5</v>
      </c>
      <c r="B45" s="57" t="s">
        <v>177</v>
      </c>
      <c r="C45" s="56" t="s">
        <v>466</v>
      </c>
      <c r="D45" s="56">
        <v>1</v>
      </c>
      <c r="E45" s="45">
        <f t="shared" si="2"/>
        <v>1768.987980769231</v>
      </c>
    </row>
    <row r="46" spans="1:5" ht="19.5" customHeight="1">
      <c r="A46" s="56">
        <v>6</v>
      </c>
      <c r="B46" s="57" t="s">
        <v>537</v>
      </c>
      <c r="C46" s="56" t="s">
        <v>466</v>
      </c>
      <c r="D46" s="56">
        <v>1</v>
      </c>
      <c r="E46" s="45">
        <f t="shared" si="2"/>
        <v>1768.987980769231</v>
      </c>
    </row>
    <row r="47" spans="1:5" ht="19.5" customHeight="1">
      <c r="A47" s="101">
        <v>7</v>
      </c>
      <c r="B47" s="310" t="s">
        <v>538</v>
      </c>
      <c r="C47" s="101" t="s">
        <v>466</v>
      </c>
      <c r="D47" s="101">
        <v>2</v>
      </c>
      <c r="E47" s="47">
        <f t="shared" si="2"/>
        <v>3537.975961538462</v>
      </c>
    </row>
  </sheetData>
  <sheetProtection/>
  <mergeCells count="3">
    <mergeCell ref="A1:F1"/>
    <mergeCell ref="A2:F2"/>
    <mergeCell ref="A38:E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">
      <pane xSplit="2" ySplit="3" topLeftCell="C8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83" sqref="G83"/>
    </sheetView>
  </sheetViews>
  <sheetFormatPr defaultColWidth="9.140625" defaultRowHeight="12.75"/>
  <cols>
    <col min="1" max="1" width="8.00390625" style="94" customWidth="1"/>
    <col min="2" max="2" width="56.00390625" style="93" customWidth="1"/>
    <col min="3" max="3" width="22.57421875" style="93" customWidth="1"/>
    <col min="4" max="4" width="27.28125" style="94" customWidth="1"/>
    <col min="5" max="5" width="16.8515625" style="95" customWidth="1"/>
    <col min="6" max="6" width="13.421875" style="93" customWidth="1"/>
    <col min="7" max="7" width="12.57421875" style="93" customWidth="1"/>
    <col min="8" max="16384" width="9.140625" style="93" customWidth="1"/>
  </cols>
  <sheetData>
    <row r="1" spans="1:8" ht="12.75">
      <c r="A1" s="445" t="s">
        <v>79</v>
      </c>
      <c r="B1" s="445"/>
      <c r="C1" s="445"/>
      <c r="D1" s="445"/>
      <c r="E1" s="445"/>
      <c r="F1" s="445"/>
      <c r="G1" s="445"/>
      <c r="H1" s="93">
        <v>1</v>
      </c>
    </row>
    <row r="2" spans="1:8" ht="18.75" customHeight="1">
      <c r="A2" s="445" t="s">
        <v>80</v>
      </c>
      <c r="B2" s="445"/>
      <c r="C2" s="445"/>
      <c r="D2" s="445"/>
      <c r="E2" s="445"/>
      <c r="F2" s="445"/>
      <c r="G2" s="445"/>
      <c r="H2" s="93">
        <v>2</v>
      </c>
    </row>
    <row r="3" spans="2:8" ht="12.75">
      <c r="B3" s="54"/>
      <c r="C3" s="54"/>
      <c r="D3" s="55"/>
      <c r="H3" s="93">
        <v>3</v>
      </c>
    </row>
    <row r="4" spans="1:8" s="124" customFormat="1" ht="25.5">
      <c r="A4" s="120" t="s">
        <v>118</v>
      </c>
      <c r="B4" s="121" t="s">
        <v>81</v>
      </c>
      <c r="C4" s="122" t="s">
        <v>565</v>
      </c>
      <c r="D4" s="123" t="s">
        <v>566</v>
      </c>
      <c r="E4" s="399" t="s">
        <v>567</v>
      </c>
      <c r="F4" s="399" t="s">
        <v>568</v>
      </c>
      <c r="G4" s="399" t="s">
        <v>569</v>
      </c>
      <c r="H4" s="93">
        <v>4</v>
      </c>
    </row>
    <row r="5" spans="1:8" s="395" customFormat="1" ht="23.25" customHeight="1">
      <c r="A5" s="106">
        <v>1</v>
      </c>
      <c r="B5" s="107" t="s">
        <v>82</v>
      </c>
      <c r="C5" s="108"/>
      <c r="D5" s="109"/>
      <c r="E5" s="394"/>
      <c r="F5" s="350"/>
      <c r="G5" s="316">
        <f>SUM(G6:G13)</f>
        <v>1215985.2750000001</v>
      </c>
      <c r="H5" s="93">
        <v>5</v>
      </c>
    </row>
    <row r="6" spans="1:8" s="54" customFormat="1" ht="19.5" customHeight="1">
      <c r="A6" s="96" t="s">
        <v>11</v>
      </c>
      <c r="B6" s="97" t="s">
        <v>83</v>
      </c>
      <c r="C6" s="96" t="s">
        <v>84</v>
      </c>
      <c r="D6" s="96" t="s">
        <v>113</v>
      </c>
      <c r="E6" s="98">
        <f>VLOOKUP(A6,luongngay!A9:F16,6,0)</f>
        <v>528689.25</v>
      </c>
      <c r="F6" s="96">
        <v>0.1</v>
      </c>
      <c r="G6" s="98">
        <f>E6*F6</f>
        <v>52868.925</v>
      </c>
      <c r="H6" s="93">
        <v>6</v>
      </c>
    </row>
    <row r="7" spans="1:8" s="54" customFormat="1" ht="32.25" customHeight="1">
      <c r="A7" s="56" t="s">
        <v>12</v>
      </c>
      <c r="B7" s="57" t="s">
        <v>85</v>
      </c>
      <c r="C7" s="56" t="s">
        <v>84</v>
      </c>
      <c r="D7" s="56" t="s">
        <v>113</v>
      </c>
      <c r="E7" s="98">
        <f>VLOOKUP(A7,luongngay!A10:F17,6,0)</f>
        <v>528689.25</v>
      </c>
      <c r="F7" s="56">
        <v>0.1</v>
      </c>
      <c r="G7" s="99">
        <f aca="true" t="shared" si="0" ref="G7:G70">E7*F7</f>
        <v>52868.925</v>
      </c>
      <c r="H7" s="93">
        <v>7</v>
      </c>
    </row>
    <row r="8" spans="1:8" s="54" customFormat="1" ht="19.5" customHeight="1">
      <c r="A8" s="56" t="s">
        <v>21</v>
      </c>
      <c r="B8" s="57" t="s">
        <v>86</v>
      </c>
      <c r="C8" s="56" t="s">
        <v>87</v>
      </c>
      <c r="D8" s="56" t="s">
        <v>113</v>
      </c>
      <c r="E8" s="98">
        <f>VLOOKUP(A8,luongngay!A11:F18,6,0)</f>
        <v>528689.25</v>
      </c>
      <c r="F8" s="56">
        <v>0.1</v>
      </c>
      <c r="G8" s="99">
        <f t="shared" si="0"/>
        <v>52868.925</v>
      </c>
      <c r="H8" s="93">
        <v>8</v>
      </c>
    </row>
    <row r="9" spans="1:8" s="54" customFormat="1" ht="19.5" customHeight="1">
      <c r="A9" s="56" t="s">
        <v>23</v>
      </c>
      <c r="B9" s="57" t="s">
        <v>88</v>
      </c>
      <c r="C9" s="56" t="s">
        <v>89</v>
      </c>
      <c r="D9" s="56" t="s">
        <v>113</v>
      </c>
      <c r="E9" s="98">
        <f>VLOOKUP(A9,luongngay!A12:F19,6,0)</f>
        <v>528689.25</v>
      </c>
      <c r="F9" s="56">
        <v>0.2</v>
      </c>
      <c r="G9" s="99">
        <f t="shared" si="0"/>
        <v>105737.85</v>
      </c>
      <c r="H9" s="93">
        <v>9</v>
      </c>
    </row>
    <row r="10" spans="1:8" s="54" customFormat="1" ht="19.5" customHeight="1">
      <c r="A10" s="56" t="s">
        <v>24</v>
      </c>
      <c r="B10" s="57" t="s">
        <v>90</v>
      </c>
      <c r="C10" s="56" t="s">
        <v>91</v>
      </c>
      <c r="D10" s="56" t="s">
        <v>113</v>
      </c>
      <c r="E10" s="98">
        <f>VLOOKUP(A10,luongngay!A13:F20,6,0)</f>
        <v>528689.25</v>
      </c>
      <c r="F10" s="56">
        <v>0.5</v>
      </c>
      <c r="G10" s="99">
        <f t="shared" si="0"/>
        <v>264344.625</v>
      </c>
      <c r="H10" s="93">
        <v>10</v>
      </c>
    </row>
    <row r="11" spans="1:8" s="54" customFormat="1" ht="19.5" customHeight="1">
      <c r="A11" s="56" t="s">
        <v>38</v>
      </c>
      <c r="B11" s="57" t="s">
        <v>92</v>
      </c>
      <c r="C11" s="56" t="s">
        <v>112</v>
      </c>
      <c r="D11" s="56" t="s">
        <v>113</v>
      </c>
      <c r="E11" s="98">
        <f>VLOOKUP(A11,luongngay!A14:F21,6,0)</f>
        <v>528689.25</v>
      </c>
      <c r="F11" s="56">
        <v>1</v>
      </c>
      <c r="G11" s="99">
        <f t="shared" si="0"/>
        <v>528689.25</v>
      </c>
      <c r="H11" s="93">
        <v>11</v>
      </c>
    </row>
    <row r="12" spans="1:8" s="54" customFormat="1" ht="19.5" customHeight="1">
      <c r="A12" s="56" t="s">
        <v>39</v>
      </c>
      <c r="B12" s="57" t="s">
        <v>93</v>
      </c>
      <c r="C12" s="56" t="s">
        <v>94</v>
      </c>
      <c r="D12" s="56" t="s">
        <v>113</v>
      </c>
      <c r="E12" s="98">
        <f>VLOOKUP(A12,luongngay!A15:F22,6,0)</f>
        <v>528689.25</v>
      </c>
      <c r="F12" s="56">
        <v>0.2</v>
      </c>
      <c r="G12" s="99">
        <f t="shared" si="0"/>
        <v>105737.85</v>
      </c>
      <c r="H12" s="93">
        <v>12</v>
      </c>
    </row>
    <row r="13" spans="1:8" s="54" customFormat="1" ht="19.5" customHeight="1">
      <c r="A13" s="56" t="s">
        <v>95</v>
      </c>
      <c r="B13" s="57" t="s">
        <v>96</v>
      </c>
      <c r="C13" s="56" t="s">
        <v>94</v>
      </c>
      <c r="D13" s="56" t="s">
        <v>113</v>
      </c>
      <c r="E13" s="98">
        <f>VLOOKUP(A13,luongngay!A16:F23,6,0)</f>
        <v>528689.25</v>
      </c>
      <c r="F13" s="56">
        <v>0.1</v>
      </c>
      <c r="G13" s="99">
        <f t="shared" si="0"/>
        <v>52868.925</v>
      </c>
      <c r="H13" s="93">
        <v>13</v>
      </c>
    </row>
    <row r="14" spans="1:8" s="395" customFormat="1" ht="19.5" customHeight="1">
      <c r="A14" s="295">
        <v>2</v>
      </c>
      <c r="B14" s="296" t="s">
        <v>97</v>
      </c>
      <c r="C14" s="295"/>
      <c r="D14" s="295"/>
      <c r="E14" s="298"/>
      <c r="F14" s="296"/>
      <c r="G14" s="298">
        <f>SUM(G15:G22)</f>
        <v>4145369.6024999996</v>
      </c>
      <c r="H14" s="93">
        <v>14</v>
      </c>
    </row>
    <row r="15" spans="1:8" s="54" customFormat="1" ht="19.5" customHeight="1">
      <c r="A15" s="56" t="s">
        <v>13</v>
      </c>
      <c r="B15" s="57" t="s">
        <v>83</v>
      </c>
      <c r="C15" s="56" t="s">
        <v>84</v>
      </c>
      <c r="D15" s="56" t="s">
        <v>114</v>
      </c>
      <c r="E15" s="99">
        <f>VLOOKUP(A15,luongngay!A18:F25,6,0)</f>
        <v>401294.25</v>
      </c>
      <c r="F15" s="56">
        <v>1.2</v>
      </c>
      <c r="G15" s="99">
        <f t="shared" si="0"/>
        <v>481553.1</v>
      </c>
      <c r="H15" s="93">
        <v>15</v>
      </c>
    </row>
    <row r="16" spans="1:8" s="54" customFormat="1" ht="32.25" customHeight="1">
      <c r="A16" s="56" t="s">
        <v>14</v>
      </c>
      <c r="B16" s="57" t="s">
        <v>85</v>
      </c>
      <c r="C16" s="56" t="s">
        <v>84</v>
      </c>
      <c r="D16" s="56" t="s">
        <v>114</v>
      </c>
      <c r="E16" s="99">
        <f>VLOOKUP(A16,luongngay!A19:F26,6,0)</f>
        <v>401294.25</v>
      </c>
      <c r="F16" s="56">
        <v>0.08</v>
      </c>
      <c r="G16" s="99">
        <f t="shared" si="0"/>
        <v>32103.54</v>
      </c>
      <c r="H16" s="93">
        <v>16</v>
      </c>
    </row>
    <row r="17" spans="1:8" s="54" customFormat="1" ht="19.5" customHeight="1">
      <c r="A17" s="56" t="s">
        <v>15</v>
      </c>
      <c r="B17" s="57" t="s">
        <v>86</v>
      </c>
      <c r="C17" s="56" t="s">
        <v>84</v>
      </c>
      <c r="D17" s="56" t="s">
        <v>114</v>
      </c>
      <c r="E17" s="99">
        <f>VLOOKUP(A17,luongngay!A20:F27,6,0)</f>
        <v>401294.25</v>
      </c>
      <c r="F17" s="56">
        <v>1.5</v>
      </c>
      <c r="G17" s="99">
        <f t="shared" si="0"/>
        <v>601941.375</v>
      </c>
      <c r="H17" s="93">
        <v>17</v>
      </c>
    </row>
    <row r="18" spans="1:8" s="54" customFormat="1" ht="19.5" customHeight="1">
      <c r="A18" s="56" t="s">
        <v>25</v>
      </c>
      <c r="B18" s="57" t="s">
        <v>88</v>
      </c>
      <c r="C18" s="56" t="s">
        <v>89</v>
      </c>
      <c r="D18" s="56" t="s">
        <v>114</v>
      </c>
      <c r="E18" s="99">
        <f>VLOOKUP(A18,luongngay!A21:F28,6,0)</f>
        <v>401294.25</v>
      </c>
      <c r="F18" s="56">
        <v>1.5</v>
      </c>
      <c r="G18" s="99">
        <f t="shared" si="0"/>
        <v>601941.375</v>
      </c>
      <c r="H18" s="93">
        <v>18</v>
      </c>
    </row>
    <row r="19" spans="1:8" s="54" customFormat="1" ht="19.5" customHeight="1">
      <c r="A19" s="56" t="s">
        <v>47</v>
      </c>
      <c r="B19" s="57" t="s">
        <v>90</v>
      </c>
      <c r="C19" s="56" t="s">
        <v>98</v>
      </c>
      <c r="D19" s="56" t="s">
        <v>114</v>
      </c>
      <c r="E19" s="99">
        <f>VLOOKUP(A19,luongngay!A22:F29,6,0)</f>
        <v>401294.25</v>
      </c>
      <c r="F19" s="56">
        <v>3.75</v>
      </c>
      <c r="G19" s="99">
        <f t="shared" si="0"/>
        <v>1504853.4375</v>
      </c>
      <c r="H19" s="93">
        <v>19</v>
      </c>
    </row>
    <row r="20" spans="1:8" s="54" customFormat="1" ht="19.5" customHeight="1">
      <c r="A20" s="56" t="s">
        <v>53</v>
      </c>
      <c r="B20" s="57" t="s">
        <v>92</v>
      </c>
      <c r="C20" s="56" t="s">
        <v>112</v>
      </c>
      <c r="D20" s="56" t="s">
        <v>114</v>
      </c>
      <c r="E20" s="99">
        <f>VLOOKUP(A20,luongngay!A23:F30,6,0)</f>
        <v>401294.25</v>
      </c>
      <c r="F20" s="56">
        <v>1.5</v>
      </c>
      <c r="G20" s="99">
        <f t="shared" si="0"/>
        <v>601941.375</v>
      </c>
      <c r="H20" s="93">
        <v>20</v>
      </c>
    </row>
    <row r="21" spans="1:8" s="54" customFormat="1" ht="19.5" customHeight="1">
      <c r="A21" s="56" t="s">
        <v>54</v>
      </c>
      <c r="B21" s="57" t="s">
        <v>93</v>
      </c>
      <c r="C21" s="56" t="s">
        <v>94</v>
      </c>
      <c r="D21" s="56" t="s">
        <v>114</v>
      </c>
      <c r="E21" s="99">
        <f>VLOOKUP(A21,luongngay!A24:F31,6,0)</f>
        <v>401294.25</v>
      </c>
      <c r="F21" s="56">
        <v>0.3</v>
      </c>
      <c r="G21" s="99">
        <f t="shared" si="0"/>
        <v>120388.275</v>
      </c>
      <c r="H21" s="93">
        <v>21</v>
      </c>
    </row>
    <row r="22" spans="1:8" s="54" customFormat="1" ht="19.5" customHeight="1">
      <c r="A22" s="56" t="s">
        <v>99</v>
      </c>
      <c r="B22" s="57" t="s">
        <v>96</v>
      </c>
      <c r="C22" s="56" t="s">
        <v>94</v>
      </c>
      <c r="D22" s="56" t="s">
        <v>114</v>
      </c>
      <c r="E22" s="99">
        <f>VLOOKUP(A22,luongngay!A25:F32,6,0)</f>
        <v>401294.25</v>
      </c>
      <c r="F22" s="56">
        <v>0.5</v>
      </c>
      <c r="G22" s="99">
        <f t="shared" si="0"/>
        <v>200647.125</v>
      </c>
      <c r="H22" s="93">
        <v>22</v>
      </c>
    </row>
    <row r="23" spans="1:8" s="395" customFormat="1" ht="19.5" customHeight="1">
      <c r="A23" s="295">
        <v>3</v>
      </c>
      <c r="B23" s="296" t="s">
        <v>100</v>
      </c>
      <c r="C23" s="295"/>
      <c r="D23" s="295"/>
      <c r="E23" s="298"/>
      <c r="F23" s="296"/>
      <c r="G23" s="298">
        <f>SUM(G24:G31)</f>
        <v>802588.5</v>
      </c>
      <c r="H23" s="93">
        <v>23</v>
      </c>
    </row>
    <row r="24" spans="1:8" s="54" customFormat="1" ht="19.5" customHeight="1">
      <c r="A24" s="56" t="s">
        <v>19</v>
      </c>
      <c r="B24" s="57" t="s">
        <v>83</v>
      </c>
      <c r="C24" s="56" t="s">
        <v>84</v>
      </c>
      <c r="D24" s="56" t="s">
        <v>115</v>
      </c>
      <c r="E24" s="99">
        <f>VLOOKUP(A24,luongngay!A27:F34,6,0)</f>
        <v>891765</v>
      </c>
      <c r="F24" s="56">
        <v>0.1</v>
      </c>
      <c r="G24" s="99">
        <f t="shared" si="0"/>
        <v>89176.5</v>
      </c>
      <c r="H24" s="93">
        <v>24</v>
      </c>
    </row>
    <row r="25" spans="1:8" s="54" customFormat="1" ht="30" customHeight="1">
      <c r="A25" s="56" t="s">
        <v>20</v>
      </c>
      <c r="B25" s="57" t="s">
        <v>85</v>
      </c>
      <c r="C25" s="56" t="s">
        <v>84</v>
      </c>
      <c r="D25" s="56" t="s">
        <v>115</v>
      </c>
      <c r="E25" s="99">
        <f>VLOOKUP(A25,luongngay!A28:F35,6,0)</f>
        <v>891765</v>
      </c>
      <c r="F25" s="56">
        <v>0.1</v>
      </c>
      <c r="G25" s="99">
        <f t="shared" si="0"/>
        <v>89176.5</v>
      </c>
      <c r="H25" s="93">
        <v>25</v>
      </c>
    </row>
    <row r="26" spans="1:8" s="54" customFormat="1" ht="19.5" customHeight="1">
      <c r="A26" s="56" t="s">
        <v>101</v>
      </c>
      <c r="B26" s="57" t="s">
        <v>86</v>
      </c>
      <c r="C26" s="56" t="s">
        <v>87</v>
      </c>
      <c r="D26" s="56" t="s">
        <v>115</v>
      </c>
      <c r="E26" s="99">
        <f>VLOOKUP(A26,luongngay!A29:F36,6,0)</f>
        <v>891765</v>
      </c>
      <c r="F26" s="56">
        <v>0.1</v>
      </c>
      <c r="G26" s="99">
        <f t="shared" si="0"/>
        <v>89176.5</v>
      </c>
      <c r="H26" s="93">
        <v>26</v>
      </c>
    </row>
    <row r="27" spans="1:8" s="54" customFormat="1" ht="19.5" customHeight="1">
      <c r="A27" s="56" t="s">
        <v>74</v>
      </c>
      <c r="B27" s="57" t="s">
        <v>102</v>
      </c>
      <c r="C27" s="56" t="s">
        <v>89</v>
      </c>
      <c r="D27" s="56" t="s">
        <v>115</v>
      </c>
      <c r="E27" s="99">
        <f>VLOOKUP(A27,luongngay!A30:F37,6,0)</f>
        <v>891765</v>
      </c>
      <c r="F27" s="56">
        <v>0.1</v>
      </c>
      <c r="G27" s="99">
        <f t="shared" si="0"/>
        <v>89176.5</v>
      </c>
      <c r="H27" s="93">
        <v>27</v>
      </c>
    </row>
    <row r="28" spans="1:8" s="54" customFormat="1" ht="19.5" customHeight="1">
      <c r="A28" s="56" t="s">
        <v>75</v>
      </c>
      <c r="B28" s="57" t="s">
        <v>90</v>
      </c>
      <c r="C28" s="56" t="s">
        <v>91</v>
      </c>
      <c r="D28" s="56" t="s">
        <v>115</v>
      </c>
      <c r="E28" s="99">
        <f>VLOOKUP(A28,luongngay!A31:F38,6,0)</f>
        <v>891765</v>
      </c>
      <c r="F28" s="56">
        <v>0.1</v>
      </c>
      <c r="G28" s="99">
        <f t="shared" si="0"/>
        <v>89176.5</v>
      </c>
      <c r="H28" s="93">
        <v>28</v>
      </c>
    </row>
    <row r="29" spans="1:8" s="54" customFormat="1" ht="19.5" customHeight="1">
      <c r="A29" s="56" t="s">
        <v>78</v>
      </c>
      <c r="B29" s="57" t="s">
        <v>92</v>
      </c>
      <c r="C29" s="56" t="s">
        <v>112</v>
      </c>
      <c r="D29" s="56" t="s">
        <v>115</v>
      </c>
      <c r="E29" s="99">
        <f>VLOOKUP(A29,luongngay!A32:F39,6,0)</f>
        <v>891765</v>
      </c>
      <c r="F29" s="56">
        <v>0.1</v>
      </c>
      <c r="G29" s="99">
        <f t="shared" si="0"/>
        <v>89176.5</v>
      </c>
      <c r="H29" s="93">
        <v>29</v>
      </c>
    </row>
    <row r="30" spans="1:8" s="54" customFormat="1" ht="19.5" customHeight="1">
      <c r="A30" s="56" t="s">
        <v>77</v>
      </c>
      <c r="B30" s="57" t="s">
        <v>93</v>
      </c>
      <c r="C30" s="56" t="s">
        <v>94</v>
      </c>
      <c r="D30" s="56" t="s">
        <v>115</v>
      </c>
      <c r="E30" s="99">
        <f>VLOOKUP(A30,luongngay!A33:F40,6,0)</f>
        <v>891765</v>
      </c>
      <c r="F30" s="56">
        <v>0.1</v>
      </c>
      <c r="G30" s="99">
        <f t="shared" si="0"/>
        <v>89176.5</v>
      </c>
      <c r="H30" s="93">
        <v>30</v>
      </c>
    </row>
    <row r="31" spans="1:8" s="54" customFormat="1" ht="19.5" customHeight="1">
      <c r="A31" s="56" t="s">
        <v>76</v>
      </c>
      <c r="B31" s="57" t="s">
        <v>96</v>
      </c>
      <c r="C31" s="56" t="s">
        <v>94</v>
      </c>
      <c r="D31" s="56" t="s">
        <v>115</v>
      </c>
      <c r="E31" s="99">
        <f>VLOOKUP(A31,luongngay!A34:F41,6,0)</f>
        <v>891765</v>
      </c>
      <c r="F31" s="56">
        <v>0.2</v>
      </c>
      <c r="G31" s="99">
        <f t="shared" si="0"/>
        <v>178353</v>
      </c>
      <c r="H31" s="93">
        <v>31</v>
      </c>
    </row>
    <row r="32" spans="1:8" s="395" customFormat="1" ht="19.5" customHeight="1">
      <c r="A32" s="295">
        <v>4</v>
      </c>
      <c r="B32" s="296" t="s">
        <v>103</v>
      </c>
      <c r="C32" s="295"/>
      <c r="D32" s="295"/>
      <c r="E32" s="298"/>
      <c r="F32" s="296"/>
      <c r="G32" s="298">
        <f>SUM(G33:G40)</f>
        <v>1358880</v>
      </c>
      <c r="H32" s="93">
        <v>32</v>
      </c>
    </row>
    <row r="33" spans="1:8" s="54" customFormat="1" ht="19.5" customHeight="1">
      <c r="A33" s="56" t="s">
        <v>104</v>
      </c>
      <c r="B33" s="57" t="s">
        <v>83</v>
      </c>
      <c r="C33" s="56" t="s">
        <v>84</v>
      </c>
      <c r="D33" s="56" t="s">
        <v>116</v>
      </c>
      <c r="E33" s="99">
        <f>VLOOKUP(A33,luongngay!A36:F43,6,0)</f>
        <v>424650</v>
      </c>
      <c r="F33" s="56">
        <v>0.2</v>
      </c>
      <c r="G33" s="99">
        <f t="shared" si="0"/>
        <v>84930</v>
      </c>
      <c r="H33" s="93">
        <v>33</v>
      </c>
    </row>
    <row r="34" spans="1:8" s="54" customFormat="1" ht="33" customHeight="1">
      <c r="A34" s="56" t="s">
        <v>105</v>
      </c>
      <c r="B34" s="57" t="s">
        <v>85</v>
      </c>
      <c r="C34" s="56" t="s">
        <v>84</v>
      </c>
      <c r="D34" s="56" t="s">
        <v>116</v>
      </c>
      <c r="E34" s="99">
        <f>VLOOKUP(A34,luongngay!A37:F44,6,0)</f>
        <v>424650</v>
      </c>
      <c r="F34" s="56">
        <v>0.15</v>
      </c>
      <c r="G34" s="99">
        <f t="shared" si="0"/>
        <v>63697.5</v>
      </c>
      <c r="H34" s="93">
        <v>34</v>
      </c>
    </row>
    <row r="35" spans="1:8" s="54" customFormat="1" ht="19.5" customHeight="1">
      <c r="A35" s="56" t="s">
        <v>106</v>
      </c>
      <c r="B35" s="57" t="s">
        <v>86</v>
      </c>
      <c r="C35" s="56" t="s">
        <v>87</v>
      </c>
      <c r="D35" s="56" t="s">
        <v>116</v>
      </c>
      <c r="E35" s="99">
        <f>VLOOKUP(A35,luongngay!A38:F45,6,0)</f>
        <v>424650</v>
      </c>
      <c r="F35" s="56">
        <v>0.15</v>
      </c>
      <c r="G35" s="99">
        <f t="shared" si="0"/>
        <v>63697.5</v>
      </c>
      <c r="H35" s="93">
        <v>35</v>
      </c>
    </row>
    <row r="36" spans="1:8" s="54" customFormat="1" ht="19.5" customHeight="1">
      <c r="A36" s="56" t="s">
        <v>107</v>
      </c>
      <c r="B36" s="57" t="s">
        <v>102</v>
      </c>
      <c r="C36" s="56" t="s">
        <v>89</v>
      </c>
      <c r="D36" s="56" t="s">
        <v>116</v>
      </c>
      <c r="E36" s="99">
        <f>VLOOKUP(A36,luongngay!A39:F46,6,0)</f>
        <v>424650</v>
      </c>
      <c r="F36" s="56">
        <v>0.3</v>
      </c>
      <c r="G36" s="99">
        <f t="shared" si="0"/>
        <v>127395</v>
      </c>
      <c r="H36" s="93">
        <v>36</v>
      </c>
    </row>
    <row r="37" spans="1:8" s="54" customFormat="1" ht="19.5" customHeight="1">
      <c r="A37" s="56" t="s">
        <v>108</v>
      </c>
      <c r="B37" s="57" t="s">
        <v>90</v>
      </c>
      <c r="C37" s="56" t="s">
        <v>91</v>
      </c>
      <c r="D37" s="56" t="s">
        <v>116</v>
      </c>
      <c r="E37" s="99">
        <f>VLOOKUP(A37,luongngay!A40:F47,6,0)</f>
        <v>424650</v>
      </c>
      <c r="F37" s="56">
        <v>0.3</v>
      </c>
      <c r="G37" s="99">
        <f t="shared" si="0"/>
        <v>127395</v>
      </c>
      <c r="H37" s="93">
        <v>37</v>
      </c>
    </row>
    <row r="38" spans="1:8" s="54" customFormat="1" ht="19.5" customHeight="1">
      <c r="A38" s="56" t="s">
        <v>109</v>
      </c>
      <c r="B38" s="57" t="s">
        <v>92</v>
      </c>
      <c r="C38" s="56" t="s">
        <v>117</v>
      </c>
      <c r="D38" s="56" t="s">
        <v>116</v>
      </c>
      <c r="E38" s="99">
        <f>VLOOKUP(A38,luongngay!A41:F48,6,0)</f>
        <v>424650</v>
      </c>
      <c r="F38" s="56">
        <v>1.5</v>
      </c>
      <c r="G38" s="99">
        <f t="shared" si="0"/>
        <v>636975</v>
      </c>
      <c r="H38" s="93">
        <v>38</v>
      </c>
    </row>
    <row r="39" spans="1:8" s="54" customFormat="1" ht="19.5" customHeight="1">
      <c r="A39" s="56" t="s">
        <v>110</v>
      </c>
      <c r="B39" s="57" t="s">
        <v>93</v>
      </c>
      <c r="C39" s="56" t="s">
        <v>94</v>
      </c>
      <c r="D39" s="56" t="s">
        <v>116</v>
      </c>
      <c r="E39" s="99">
        <f>VLOOKUP(A39,luongngay!A42:F49,6,0)</f>
        <v>424650</v>
      </c>
      <c r="F39" s="56">
        <v>0.3</v>
      </c>
      <c r="G39" s="99">
        <f t="shared" si="0"/>
        <v>127395</v>
      </c>
      <c r="H39" s="93">
        <v>39</v>
      </c>
    </row>
    <row r="40" spans="1:8" s="54" customFormat="1" ht="19.5" customHeight="1">
      <c r="A40" s="56" t="s">
        <v>111</v>
      </c>
      <c r="B40" s="57" t="s">
        <v>96</v>
      </c>
      <c r="C40" s="56" t="s">
        <v>94</v>
      </c>
      <c r="D40" s="56" t="s">
        <v>116</v>
      </c>
      <c r="E40" s="99">
        <f>VLOOKUP(A40,luongngay!A43:F50,6,0)</f>
        <v>424650</v>
      </c>
      <c r="F40" s="56">
        <v>0.3</v>
      </c>
      <c r="G40" s="99">
        <f t="shared" si="0"/>
        <v>127395</v>
      </c>
      <c r="H40" s="93">
        <v>40</v>
      </c>
    </row>
    <row r="41" spans="1:8" s="116" customFormat="1" ht="19.5" customHeight="1">
      <c r="A41" s="112" t="s">
        <v>158</v>
      </c>
      <c r="B41" s="113" t="s">
        <v>119</v>
      </c>
      <c r="C41" s="112"/>
      <c r="D41" s="112"/>
      <c r="E41" s="114"/>
      <c r="F41" s="112"/>
      <c r="G41" s="115"/>
      <c r="H41" s="93">
        <v>41</v>
      </c>
    </row>
    <row r="42" spans="1:8" s="130" customFormat="1" ht="19.5" customHeight="1">
      <c r="A42" s="125" t="s">
        <v>9</v>
      </c>
      <c r="B42" s="126" t="s">
        <v>121</v>
      </c>
      <c r="C42" s="125"/>
      <c r="D42" s="127"/>
      <c r="E42" s="128"/>
      <c r="F42" s="125"/>
      <c r="G42" s="129"/>
      <c r="H42" s="93">
        <v>42</v>
      </c>
    </row>
    <row r="43" spans="1:8" s="54" customFormat="1" ht="27" customHeight="1">
      <c r="A43" s="56">
        <v>1</v>
      </c>
      <c r="B43" s="57" t="s">
        <v>120</v>
      </c>
      <c r="C43" s="56" t="s">
        <v>418</v>
      </c>
      <c r="D43" s="58" t="s">
        <v>159</v>
      </c>
      <c r="E43" s="100">
        <f>VLOOKUP(A43,luongngay!A46:F46,6,0)</f>
        <v>320610.75</v>
      </c>
      <c r="F43" s="56">
        <v>13.25</v>
      </c>
      <c r="G43" s="99">
        <f t="shared" si="0"/>
        <v>4248092.4375</v>
      </c>
      <c r="H43" s="93">
        <v>43</v>
      </c>
    </row>
    <row r="44" spans="1:8" s="54" customFormat="1" ht="19.5" customHeight="1">
      <c r="A44" s="56">
        <v>2</v>
      </c>
      <c r="B44" s="57" t="s">
        <v>121</v>
      </c>
      <c r="C44" s="56"/>
      <c r="D44" s="58"/>
      <c r="E44" s="100"/>
      <c r="F44" s="56"/>
      <c r="G44" s="99"/>
      <c r="H44" s="93">
        <v>44</v>
      </c>
    </row>
    <row r="45" spans="1:8" s="54" customFormat="1" ht="19.5" customHeight="1">
      <c r="A45" s="56" t="s">
        <v>13</v>
      </c>
      <c r="B45" s="57" t="s">
        <v>122</v>
      </c>
      <c r="C45" s="56"/>
      <c r="D45" s="58"/>
      <c r="E45" s="100"/>
      <c r="F45" s="56"/>
      <c r="G45" s="99"/>
      <c r="H45" s="93">
        <v>45</v>
      </c>
    </row>
    <row r="46" spans="1:8" s="54" customFormat="1" ht="19.5" customHeight="1">
      <c r="A46" s="56" t="s">
        <v>40</v>
      </c>
      <c r="B46" s="57" t="s">
        <v>69</v>
      </c>
      <c r="C46" s="56" t="s">
        <v>419</v>
      </c>
      <c r="D46" s="58" t="s">
        <v>159</v>
      </c>
      <c r="E46" s="100">
        <f>VLOOKUP(A46,luongngay!A49:F51,6,0)</f>
        <v>320610.75</v>
      </c>
      <c r="F46" s="56">
        <v>6</v>
      </c>
      <c r="G46" s="99">
        <f t="shared" si="0"/>
        <v>1923664.5</v>
      </c>
      <c r="H46" s="93">
        <v>46</v>
      </c>
    </row>
    <row r="47" spans="1:8" s="54" customFormat="1" ht="19.5" customHeight="1">
      <c r="A47" s="56" t="s">
        <v>41</v>
      </c>
      <c r="B47" s="57" t="s">
        <v>123</v>
      </c>
      <c r="C47" s="56" t="s">
        <v>419</v>
      </c>
      <c r="D47" s="58" t="s">
        <v>159</v>
      </c>
      <c r="E47" s="100">
        <f>VLOOKUP(A47,luongngay!A50:F52,6,0)</f>
        <v>320610.75</v>
      </c>
      <c r="F47" s="56">
        <v>2</v>
      </c>
      <c r="G47" s="99">
        <f t="shared" si="0"/>
        <v>641221.5</v>
      </c>
      <c r="H47" s="93">
        <v>47</v>
      </c>
    </row>
    <row r="48" spans="1:8" s="54" customFormat="1" ht="19.5" customHeight="1">
      <c r="A48" s="56" t="s">
        <v>124</v>
      </c>
      <c r="B48" s="57" t="s">
        <v>125</v>
      </c>
      <c r="C48" s="56" t="s">
        <v>126</v>
      </c>
      <c r="D48" s="58" t="s">
        <v>159</v>
      </c>
      <c r="E48" s="100">
        <f>VLOOKUP(A48,luongngay!A51:F53,6,0)</f>
        <v>320610.75</v>
      </c>
      <c r="F48" s="56">
        <v>0.2</v>
      </c>
      <c r="G48" s="99">
        <f t="shared" si="0"/>
        <v>64122.15</v>
      </c>
      <c r="H48" s="93">
        <v>48</v>
      </c>
    </row>
    <row r="49" spans="1:8" s="54" customFormat="1" ht="19.5" customHeight="1">
      <c r="A49" s="56" t="s">
        <v>127</v>
      </c>
      <c r="B49" s="57" t="s">
        <v>128</v>
      </c>
      <c r="C49" s="56"/>
      <c r="D49" s="58"/>
      <c r="E49" s="100"/>
      <c r="F49" s="56"/>
      <c r="G49" s="99"/>
      <c r="H49" s="93">
        <v>49</v>
      </c>
    </row>
    <row r="50" spans="1:8" s="54" customFormat="1" ht="19.5" customHeight="1">
      <c r="A50" s="56" t="s">
        <v>129</v>
      </c>
      <c r="B50" s="57" t="s">
        <v>130</v>
      </c>
      <c r="C50" s="56" t="s">
        <v>160</v>
      </c>
      <c r="D50" s="58" t="s">
        <v>159</v>
      </c>
      <c r="E50" s="100">
        <f>VLOOKUP(A50,luongngay!A53:F54,6,0)</f>
        <v>320610.75</v>
      </c>
      <c r="F50" s="56">
        <v>0.2</v>
      </c>
      <c r="G50" s="99">
        <f t="shared" si="0"/>
        <v>64122.15</v>
      </c>
      <c r="H50" s="93">
        <v>50</v>
      </c>
    </row>
    <row r="51" spans="1:8" s="54" customFormat="1" ht="19.5" customHeight="1">
      <c r="A51" s="56" t="s">
        <v>131</v>
      </c>
      <c r="B51" s="57" t="s">
        <v>132</v>
      </c>
      <c r="C51" s="56" t="s">
        <v>133</v>
      </c>
      <c r="D51" s="58" t="s">
        <v>159</v>
      </c>
      <c r="E51" s="100">
        <f>VLOOKUP(A51,luongngay!A54:F55,6,0)</f>
        <v>320610.75</v>
      </c>
      <c r="F51" s="56">
        <v>0.2</v>
      </c>
      <c r="G51" s="99">
        <f t="shared" si="0"/>
        <v>64122.15</v>
      </c>
      <c r="H51" s="93">
        <v>51</v>
      </c>
    </row>
    <row r="52" spans="1:8" s="54" customFormat="1" ht="19.5" customHeight="1">
      <c r="A52" s="56" t="s">
        <v>14</v>
      </c>
      <c r="B52" s="57" t="s">
        <v>134</v>
      </c>
      <c r="C52" s="56"/>
      <c r="D52" s="58"/>
      <c r="E52" s="100"/>
      <c r="F52" s="56"/>
      <c r="G52" s="99"/>
      <c r="H52" s="93">
        <v>52</v>
      </c>
    </row>
    <row r="53" spans="1:8" s="54" customFormat="1" ht="19.5" customHeight="1">
      <c r="A53" s="56" t="s">
        <v>135</v>
      </c>
      <c r="B53" s="57" t="s">
        <v>69</v>
      </c>
      <c r="C53" s="56" t="s">
        <v>136</v>
      </c>
      <c r="D53" s="58" t="s">
        <v>159</v>
      </c>
      <c r="E53" s="100">
        <f>VLOOKUP(A53,luongngay!A56:F60,6,0)</f>
        <v>320610.75</v>
      </c>
      <c r="F53" s="56">
        <v>0.75</v>
      </c>
      <c r="G53" s="99">
        <f t="shared" si="0"/>
        <v>240458.0625</v>
      </c>
      <c r="H53" s="93">
        <v>53</v>
      </c>
    </row>
    <row r="54" spans="1:7" s="54" customFormat="1" ht="19.5" customHeight="1">
      <c r="A54" s="56" t="s">
        <v>137</v>
      </c>
      <c r="B54" s="57" t="s">
        <v>123</v>
      </c>
      <c r="C54" s="56" t="s">
        <v>136</v>
      </c>
      <c r="D54" s="58" t="s">
        <v>159</v>
      </c>
      <c r="E54" s="100">
        <f>VLOOKUP(A54,luongngay!A57:F61,6,0)</f>
        <v>320610.75</v>
      </c>
      <c r="F54" s="56">
        <v>1.5</v>
      </c>
      <c r="G54" s="99">
        <f t="shared" si="0"/>
        <v>480916.125</v>
      </c>
    </row>
    <row r="55" spans="1:7" s="54" customFormat="1" ht="19.5" customHeight="1">
      <c r="A55" s="56" t="s">
        <v>138</v>
      </c>
      <c r="B55" s="57" t="s">
        <v>139</v>
      </c>
      <c r="C55" s="56" t="s">
        <v>140</v>
      </c>
      <c r="D55" s="58" t="s">
        <v>159</v>
      </c>
      <c r="E55" s="100">
        <f>VLOOKUP(A55,luongngay!A58:F62,6,0)</f>
        <v>320610.75</v>
      </c>
      <c r="F55" s="56">
        <v>0.75</v>
      </c>
      <c r="G55" s="99">
        <f t="shared" si="0"/>
        <v>240458.0625</v>
      </c>
    </row>
    <row r="56" spans="1:7" s="54" customFormat="1" ht="19.5" customHeight="1">
      <c r="A56" s="56" t="s">
        <v>141</v>
      </c>
      <c r="B56" s="57" t="s">
        <v>142</v>
      </c>
      <c r="C56" s="56" t="s">
        <v>143</v>
      </c>
      <c r="D56" s="58" t="s">
        <v>159</v>
      </c>
      <c r="E56" s="100">
        <f>VLOOKUP(A56,luongngay!A59:F63,6,0)</f>
        <v>320610.75</v>
      </c>
      <c r="F56" s="56">
        <v>0.75</v>
      </c>
      <c r="G56" s="99">
        <f t="shared" si="0"/>
        <v>240458.0625</v>
      </c>
    </row>
    <row r="57" spans="1:7" s="54" customFormat="1" ht="19.5" customHeight="1">
      <c r="A57" s="56" t="s">
        <v>144</v>
      </c>
      <c r="B57" s="57" t="s">
        <v>145</v>
      </c>
      <c r="C57" s="56" t="s">
        <v>143</v>
      </c>
      <c r="D57" s="58" t="s">
        <v>159</v>
      </c>
      <c r="E57" s="100">
        <f>VLOOKUP(A57,luongngay!A60:F64,6,0)</f>
        <v>320610.75</v>
      </c>
      <c r="F57" s="56">
        <v>0.75</v>
      </c>
      <c r="G57" s="99">
        <f t="shared" si="0"/>
        <v>240458.0625</v>
      </c>
    </row>
    <row r="58" spans="1:7" s="54" customFormat="1" ht="19.5" customHeight="1">
      <c r="A58" s="56" t="s">
        <v>15</v>
      </c>
      <c r="B58" s="57" t="s">
        <v>146</v>
      </c>
      <c r="C58" s="56"/>
      <c r="D58" s="58"/>
      <c r="E58" s="100"/>
      <c r="F58" s="56"/>
      <c r="G58" s="99"/>
    </row>
    <row r="59" spans="1:7" s="54" customFormat="1" ht="19.5" customHeight="1">
      <c r="A59" s="56" t="s">
        <v>42</v>
      </c>
      <c r="B59" s="57" t="s">
        <v>147</v>
      </c>
      <c r="C59" s="56" t="s">
        <v>148</v>
      </c>
      <c r="D59" s="58" t="s">
        <v>159</v>
      </c>
      <c r="E59" s="100">
        <f>VLOOKUP(A59,luongngay!$A$62:$F$64,6,0)</f>
        <v>320610.75</v>
      </c>
      <c r="F59" s="56">
        <v>2.5</v>
      </c>
      <c r="G59" s="99">
        <f t="shared" si="0"/>
        <v>801526.875</v>
      </c>
    </row>
    <row r="60" spans="1:7" s="54" customFormat="1" ht="19.5" customHeight="1">
      <c r="A60" s="56" t="s">
        <v>43</v>
      </c>
      <c r="B60" s="57" t="s">
        <v>149</v>
      </c>
      <c r="C60" s="56" t="s">
        <v>148</v>
      </c>
      <c r="D60" s="58" t="s">
        <v>159</v>
      </c>
      <c r="E60" s="100">
        <f>VLOOKUP(A60,luongngay!$A$62:$F$64,6,0)</f>
        <v>320610.75</v>
      </c>
      <c r="F60" s="56">
        <v>2.5</v>
      </c>
      <c r="G60" s="99">
        <f t="shared" si="0"/>
        <v>801526.875</v>
      </c>
    </row>
    <row r="61" spans="1:7" s="54" customFormat="1" ht="19.5" customHeight="1">
      <c r="A61" s="56" t="s">
        <v>44</v>
      </c>
      <c r="B61" s="57" t="s">
        <v>150</v>
      </c>
      <c r="C61" s="56" t="s">
        <v>148</v>
      </c>
      <c r="D61" s="58" t="s">
        <v>159</v>
      </c>
      <c r="E61" s="100">
        <f>VLOOKUP(A61,luongngay!$A$62:$F$64,6,0)</f>
        <v>320610.75</v>
      </c>
      <c r="F61" s="56">
        <v>2.5</v>
      </c>
      <c r="G61" s="99">
        <f t="shared" si="0"/>
        <v>801526.875</v>
      </c>
    </row>
    <row r="62" spans="1:7" s="54" customFormat="1" ht="19.5" customHeight="1">
      <c r="A62" s="56">
        <v>3</v>
      </c>
      <c r="B62" s="57" t="s">
        <v>151</v>
      </c>
      <c r="C62" s="56" t="s">
        <v>152</v>
      </c>
      <c r="D62" s="58" t="s">
        <v>159</v>
      </c>
      <c r="E62" s="100">
        <f>VLOOKUP(A62,luongngay!A65:F65,6,0)</f>
        <v>320610.75</v>
      </c>
      <c r="F62" s="56">
        <v>0.1</v>
      </c>
      <c r="G62" s="99">
        <f t="shared" si="0"/>
        <v>32061.075</v>
      </c>
    </row>
    <row r="63" spans="1:7" s="130" customFormat="1" ht="19.5" customHeight="1">
      <c r="A63" s="125" t="s">
        <v>10</v>
      </c>
      <c r="B63" s="126" t="s">
        <v>153</v>
      </c>
      <c r="C63" s="125"/>
      <c r="D63" s="127"/>
      <c r="E63" s="128"/>
      <c r="F63" s="125"/>
      <c r="G63" s="129"/>
    </row>
    <row r="64" spans="1:7" s="54" customFormat="1" ht="19.5" customHeight="1">
      <c r="A64" s="56">
        <v>1</v>
      </c>
      <c r="B64" s="57" t="s">
        <v>154</v>
      </c>
      <c r="C64" s="56" t="s">
        <v>148</v>
      </c>
      <c r="D64" s="58" t="s">
        <v>161</v>
      </c>
      <c r="E64" s="100">
        <f>VLOOKUP(A64,luongngay!$A$67:$F$70,6,0)</f>
        <v>367322.25</v>
      </c>
      <c r="F64" s="56">
        <v>0.75</v>
      </c>
      <c r="G64" s="99">
        <f t="shared" si="0"/>
        <v>275491.6875</v>
      </c>
    </row>
    <row r="65" spans="1:7" s="54" customFormat="1" ht="19.5" customHeight="1">
      <c r="A65" s="56">
        <v>2</v>
      </c>
      <c r="B65" s="57" t="s">
        <v>155</v>
      </c>
      <c r="C65" s="56" t="s">
        <v>148</v>
      </c>
      <c r="D65" s="58" t="s">
        <v>161</v>
      </c>
      <c r="E65" s="100">
        <f>VLOOKUP(A65,luongngay!$A$67:$F$70,6,0)</f>
        <v>367322.25</v>
      </c>
      <c r="F65" s="56">
        <v>1.5</v>
      </c>
      <c r="G65" s="99">
        <f t="shared" si="0"/>
        <v>550983.375</v>
      </c>
    </row>
    <row r="66" spans="1:7" s="54" customFormat="1" ht="19.5" customHeight="1">
      <c r="A66" s="56">
        <v>3</v>
      </c>
      <c r="B66" s="57" t="s">
        <v>156</v>
      </c>
      <c r="C66" s="56" t="s">
        <v>148</v>
      </c>
      <c r="D66" s="58" t="s">
        <v>161</v>
      </c>
      <c r="E66" s="100">
        <f>VLOOKUP(A66,luongngay!$A$67:$F$70,6,0)</f>
        <v>320610.75</v>
      </c>
      <c r="F66" s="56">
        <v>0.75</v>
      </c>
      <c r="G66" s="99">
        <f t="shared" si="0"/>
        <v>240458.0625</v>
      </c>
    </row>
    <row r="67" spans="1:7" s="54" customFormat="1" ht="19.5" customHeight="1">
      <c r="A67" s="56">
        <v>4</v>
      </c>
      <c r="B67" s="57" t="s">
        <v>157</v>
      </c>
      <c r="C67" s="56" t="s">
        <v>152</v>
      </c>
      <c r="D67" s="58" t="s">
        <v>161</v>
      </c>
      <c r="E67" s="100">
        <f>VLOOKUP(A67,luongngay!$A$67:$F$70,6,0)</f>
        <v>320610.75</v>
      </c>
      <c r="F67" s="56">
        <v>0.1</v>
      </c>
      <c r="G67" s="99">
        <f t="shared" si="0"/>
        <v>32061.075</v>
      </c>
    </row>
    <row r="68" spans="1:7" s="116" customFormat="1" ht="19.5" customHeight="1">
      <c r="A68" s="117" t="s">
        <v>162</v>
      </c>
      <c r="B68" s="118" t="s">
        <v>163</v>
      </c>
      <c r="C68" s="119"/>
      <c r="D68" s="117"/>
      <c r="E68" s="114"/>
      <c r="F68" s="119"/>
      <c r="G68" s="115"/>
    </row>
    <row r="69" spans="1:7" s="130" customFormat="1" ht="19.5" customHeight="1">
      <c r="A69" s="125">
        <v>1</v>
      </c>
      <c r="B69" s="131" t="s">
        <v>164</v>
      </c>
      <c r="C69" s="125"/>
      <c r="D69" s="127"/>
      <c r="E69" s="128"/>
      <c r="F69" s="125"/>
      <c r="G69" s="129"/>
    </row>
    <row r="70" spans="1:7" s="54" customFormat="1" ht="19.5" customHeight="1">
      <c r="A70" s="56" t="s">
        <v>11</v>
      </c>
      <c r="B70" s="59" t="s">
        <v>165</v>
      </c>
      <c r="C70" s="56" t="s">
        <v>420</v>
      </c>
      <c r="D70" s="58" t="s">
        <v>186</v>
      </c>
      <c r="E70" s="100">
        <f>VLOOKUP(A70,luongngay!$A$73:$F$79,6,0)</f>
        <v>348212.99999999994</v>
      </c>
      <c r="F70" s="56">
        <v>2</v>
      </c>
      <c r="G70" s="99">
        <f t="shared" si="0"/>
        <v>696425.9999999999</v>
      </c>
    </row>
    <row r="71" spans="1:7" s="54" customFormat="1" ht="19.5" customHeight="1">
      <c r="A71" s="56" t="s">
        <v>12</v>
      </c>
      <c r="B71" s="59" t="s">
        <v>166</v>
      </c>
      <c r="C71" s="56" t="s">
        <v>420</v>
      </c>
      <c r="D71" s="58" t="s">
        <v>186</v>
      </c>
      <c r="E71" s="100">
        <f>VLOOKUP(A71,luongngay!$A$73:$F$79,6,0)</f>
        <v>348212.99999999994</v>
      </c>
      <c r="F71" s="56">
        <v>4</v>
      </c>
      <c r="G71" s="99">
        <f aca="true" t="shared" si="1" ref="G71:G90">E71*F71</f>
        <v>1392851.9999999998</v>
      </c>
    </row>
    <row r="72" spans="1:7" s="54" customFormat="1" ht="19.5" customHeight="1">
      <c r="A72" s="56" t="s">
        <v>21</v>
      </c>
      <c r="B72" s="59" t="s">
        <v>69</v>
      </c>
      <c r="C72" s="56" t="s">
        <v>419</v>
      </c>
      <c r="D72" s="58" t="s">
        <v>186</v>
      </c>
      <c r="E72" s="100">
        <f>VLOOKUP(A72,luongngay!$A$73:$F$79,6,0)</f>
        <v>348212.99999999994</v>
      </c>
      <c r="F72" s="56">
        <v>6</v>
      </c>
      <c r="G72" s="99">
        <f t="shared" si="1"/>
        <v>2089277.9999999995</v>
      </c>
    </row>
    <row r="73" spans="1:7" s="54" customFormat="1" ht="12.75">
      <c r="A73" s="56" t="s">
        <v>23</v>
      </c>
      <c r="B73" s="59" t="s">
        <v>167</v>
      </c>
      <c r="C73" s="56" t="s">
        <v>148</v>
      </c>
      <c r="D73" s="58" t="s">
        <v>186</v>
      </c>
      <c r="E73" s="100">
        <f>VLOOKUP(A73,luongngay!$A$73:$F$79,6,0)</f>
        <v>348212.99999999994</v>
      </c>
      <c r="F73" s="56">
        <v>30</v>
      </c>
      <c r="G73" s="99">
        <f t="shared" si="1"/>
        <v>10446389.999999998</v>
      </c>
    </row>
    <row r="74" spans="1:7" s="54" customFormat="1" ht="12.75">
      <c r="A74" s="56" t="s">
        <v>24</v>
      </c>
      <c r="B74" s="59" t="s">
        <v>168</v>
      </c>
      <c r="C74" s="56" t="s">
        <v>148</v>
      </c>
      <c r="D74" s="58" t="s">
        <v>186</v>
      </c>
      <c r="E74" s="100">
        <f>VLOOKUP(A74,luongngay!$A$73:$F$79,6,0)</f>
        <v>348212.99999999994</v>
      </c>
      <c r="F74" s="56">
        <v>10</v>
      </c>
      <c r="G74" s="99">
        <f t="shared" si="1"/>
        <v>3482129.9999999995</v>
      </c>
    </row>
    <row r="75" spans="1:7" s="54" customFormat="1" ht="12.75">
      <c r="A75" s="56" t="s">
        <v>38</v>
      </c>
      <c r="B75" s="59" t="s">
        <v>169</v>
      </c>
      <c r="C75" s="56" t="s">
        <v>148</v>
      </c>
      <c r="D75" s="58" t="s">
        <v>186</v>
      </c>
      <c r="E75" s="100">
        <f>VLOOKUP(A75,luongngay!$A$73:$F$79,6,0)</f>
        <v>348212.99999999994</v>
      </c>
      <c r="F75" s="56">
        <v>30</v>
      </c>
      <c r="G75" s="99">
        <f t="shared" si="1"/>
        <v>10446389.999999998</v>
      </c>
    </row>
    <row r="76" spans="1:7" s="54" customFormat="1" ht="12.75">
      <c r="A76" s="56" t="s">
        <v>39</v>
      </c>
      <c r="B76" s="59" t="s">
        <v>170</v>
      </c>
      <c r="C76" s="56" t="s">
        <v>126</v>
      </c>
      <c r="D76" s="58" t="s">
        <v>186</v>
      </c>
      <c r="E76" s="100">
        <f>VLOOKUP(A76,luongngay!$A$73:$F$79,6,0)</f>
        <v>348212.99999999994</v>
      </c>
      <c r="F76" s="56">
        <v>0.1</v>
      </c>
      <c r="G76" s="99">
        <f t="shared" si="1"/>
        <v>34821.299999999996</v>
      </c>
    </row>
    <row r="77" spans="1:7" s="130" customFormat="1" ht="12.75">
      <c r="A77" s="125">
        <v>2</v>
      </c>
      <c r="B77" s="131" t="s">
        <v>171</v>
      </c>
      <c r="C77" s="125"/>
      <c r="D77" s="127"/>
      <c r="E77" s="132"/>
      <c r="F77" s="125"/>
      <c r="G77" s="129"/>
    </row>
    <row r="78" spans="1:7" s="54" customFormat="1" ht="12.75">
      <c r="A78" s="56" t="s">
        <v>13</v>
      </c>
      <c r="B78" s="59" t="s">
        <v>172</v>
      </c>
      <c r="C78" s="56" t="s">
        <v>148</v>
      </c>
      <c r="D78" s="58" t="s">
        <v>186</v>
      </c>
      <c r="E78" s="100">
        <f>VLOOKUP(A78,luongngay!$A$81:$F$87,6,0)</f>
        <v>348212.99999999994</v>
      </c>
      <c r="F78" s="56">
        <v>4</v>
      </c>
      <c r="G78" s="99">
        <f t="shared" si="1"/>
        <v>1392851.9999999998</v>
      </c>
    </row>
    <row r="79" spans="1:7" s="54" customFormat="1" ht="12.75">
      <c r="A79" s="56" t="s">
        <v>14</v>
      </c>
      <c r="B79" s="59" t="s">
        <v>173</v>
      </c>
      <c r="C79" s="56" t="s">
        <v>148</v>
      </c>
      <c r="D79" s="58" t="s">
        <v>186</v>
      </c>
      <c r="E79" s="100">
        <f>VLOOKUP(A79,luongngay!$A$81:$F$87,6,0)</f>
        <v>348212.99999999994</v>
      </c>
      <c r="F79" s="56">
        <v>1</v>
      </c>
      <c r="G79" s="99">
        <f t="shared" si="1"/>
        <v>348212.99999999994</v>
      </c>
    </row>
    <row r="80" spans="1:7" s="54" customFormat="1" ht="12.75">
      <c r="A80" s="56" t="s">
        <v>15</v>
      </c>
      <c r="B80" s="59" t="s">
        <v>174</v>
      </c>
      <c r="C80" s="56" t="s">
        <v>148</v>
      </c>
      <c r="D80" s="58" t="s">
        <v>186</v>
      </c>
      <c r="E80" s="100">
        <f>VLOOKUP(A80,luongngay!$A$81:$F$87,6,0)</f>
        <v>348212.99999999994</v>
      </c>
      <c r="F80" s="56">
        <v>2</v>
      </c>
      <c r="G80" s="99">
        <f t="shared" si="1"/>
        <v>696425.9999999999</v>
      </c>
    </row>
    <row r="81" spans="1:7" s="54" customFormat="1" ht="12.75">
      <c r="A81" s="56" t="s">
        <v>25</v>
      </c>
      <c r="B81" s="59" t="s">
        <v>175</v>
      </c>
      <c r="C81" s="56" t="s">
        <v>176</v>
      </c>
      <c r="D81" s="58" t="s">
        <v>186</v>
      </c>
      <c r="E81" s="100">
        <f>VLOOKUP(A81,luongngay!$A$81:$F$87,6,0)</f>
        <v>348212.99999999994</v>
      </c>
      <c r="F81" s="56">
        <v>0.2</v>
      </c>
      <c r="G81" s="99">
        <f t="shared" si="1"/>
        <v>69642.59999999999</v>
      </c>
    </row>
    <row r="82" spans="1:7" s="54" customFormat="1" ht="12.75">
      <c r="A82" s="56" t="s">
        <v>47</v>
      </c>
      <c r="B82" s="59" t="s">
        <v>177</v>
      </c>
      <c r="C82" s="56" t="s">
        <v>148</v>
      </c>
      <c r="D82" s="58" t="s">
        <v>186</v>
      </c>
      <c r="E82" s="100">
        <f>VLOOKUP(A82,luongngay!$A$81:$F$87,6,0)</f>
        <v>348212.99999999994</v>
      </c>
      <c r="F82" s="56">
        <v>2</v>
      </c>
      <c r="G82" s="99">
        <f t="shared" si="1"/>
        <v>696425.9999999999</v>
      </c>
    </row>
    <row r="83" spans="1:7" s="54" customFormat="1" ht="12.75">
      <c r="A83" s="56" t="s">
        <v>53</v>
      </c>
      <c r="B83" s="59" t="s">
        <v>178</v>
      </c>
      <c r="C83" s="56" t="s">
        <v>148</v>
      </c>
      <c r="D83" s="58" t="s">
        <v>186</v>
      </c>
      <c r="E83" s="100">
        <f>VLOOKUP(A83,luongngay!$A$81:$F$87,6,0)</f>
        <v>348212.99999999994</v>
      </c>
      <c r="F83" s="56">
        <v>2</v>
      </c>
      <c r="G83" s="99">
        <f t="shared" si="1"/>
        <v>696425.9999999999</v>
      </c>
    </row>
    <row r="84" spans="1:7" s="54" customFormat="1" ht="12.75">
      <c r="A84" s="56" t="s">
        <v>54</v>
      </c>
      <c r="B84" s="59" t="s">
        <v>179</v>
      </c>
      <c r="C84" s="56" t="s">
        <v>148</v>
      </c>
      <c r="D84" s="58" t="s">
        <v>186</v>
      </c>
      <c r="E84" s="100">
        <f>VLOOKUP(A84,luongngay!$A$81:$F$87,6,0)</f>
        <v>348212.99999999994</v>
      </c>
      <c r="F84" s="56">
        <v>4</v>
      </c>
      <c r="G84" s="99">
        <f t="shared" si="1"/>
        <v>1392851.9999999998</v>
      </c>
    </row>
    <row r="85" spans="1:7" s="130" customFormat="1" ht="12.75">
      <c r="A85" s="125">
        <v>3</v>
      </c>
      <c r="B85" s="131" t="s">
        <v>180</v>
      </c>
      <c r="C85" s="125"/>
      <c r="D85" s="127"/>
      <c r="E85" s="132"/>
      <c r="F85" s="125"/>
      <c r="G85" s="129"/>
    </row>
    <row r="86" spans="1:7" s="54" customFormat="1" ht="12.75">
      <c r="A86" s="56" t="s">
        <v>19</v>
      </c>
      <c r="B86" s="59" t="s">
        <v>181</v>
      </c>
      <c r="C86" s="56" t="s">
        <v>148</v>
      </c>
      <c r="D86" s="58" t="s">
        <v>186</v>
      </c>
      <c r="E86" s="100">
        <f>VLOOKUP(A86,luongngay!$A$89:$F$92,6,0)</f>
        <v>348212.99999999994</v>
      </c>
      <c r="F86" s="56">
        <v>8</v>
      </c>
      <c r="G86" s="99">
        <f t="shared" si="1"/>
        <v>2785703.9999999995</v>
      </c>
    </row>
    <row r="87" spans="1:7" s="54" customFormat="1" ht="12.75">
      <c r="A87" s="56" t="s">
        <v>20</v>
      </c>
      <c r="B87" s="59" t="s">
        <v>182</v>
      </c>
      <c r="C87" s="56" t="s">
        <v>148</v>
      </c>
      <c r="D87" s="58" t="s">
        <v>186</v>
      </c>
      <c r="E87" s="100">
        <f>VLOOKUP(A87,luongngay!$A$89:$F$92,6,0)</f>
        <v>348212.99999999994</v>
      </c>
      <c r="F87" s="56">
        <v>8</v>
      </c>
      <c r="G87" s="99">
        <f t="shared" si="1"/>
        <v>2785703.9999999995</v>
      </c>
    </row>
    <row r="88" spans="1:7" s="54" customFormat="1" ht="12.75">
      <c r="A88" s="56" t="s">
        <v>101</v>
      </c>
      <c r="B88" s="59" t="s">
        <v>183</v>
      </c>
      <c r="C88" s="56" t="s">
        <v>148</v>
      </c>
      <c r="D88" s="58" t="s">
        <v>186</v>
      </c>
      <c r="E88" s="100">
        <f>VLOOKUP(A88,luongngay!$A$89:$F$92,6,0)</f>
        <v>348212.99999999994</v>
      </c>
      <c r="F88" s="56">
        <v>6.5</v>
      </c>
      <c r="G88" s="99">
        <f t="shared" si="1"/>
        <v>2263384.4999999995</v>
      </c>
    </row>
    <row r="89" spans="1:7" s="54" customFormat="1" ht="12.75">
      <c r="A89" s="56" t="s">
        <v>74</v>
      </c>
      <c r="B89" s="59" t="s">
        <v>184</v>
      </c>
      <c r="C89" s="56" t="s">
        <v>148</v>
      </c>
      <c r="D89" s="58" t="s">
        <v>186</v>
      </c>
      <c r="E89" s="100">
        <f>VLOOKUP(A89,luongngay!$A$89:$F$92,6,0)</f>
        <v>348212.99999999994</v>
      </c>
      <c r="F89" s="56">
        <v>0.4</v>
      </c>
      <c r="G89" s="99">
        <f t="shared" si="1"/>
        <v>139285.19999999998</v>
      </c>
    </row>
    <row r="90" spans="1:7" s="54" customFormat="1" ht="12.75">
      <c r="A90" s="101">
        <v>4</v>
      </c>
      <c r="B90" s="102" t="s">
        <v>185</v>
      </c>
      <c r="C90" s="101" t="s">
        <v>148</v>
      </c>
      <c r="D90" s="60" t="s">
        <v>186</v>
      </c>
      <c r="E90" s="103">
        <f>VLOOKUP(A90,luongngay!A93:F93,6,0)</f>
        <v>348212.99999999994</v>
      </c>
      <c r="F90" s="101">
        <v>1</v>
      </c>
      <c r="G90" s="104">
        <f t="shared" si="1"/>
        <v>348212.99999999994</v>
      </c>
    </row>
    <row r="94" spans="1:4" ht="15">
      <c r="A94" s="413" t="s">
        <v>238</v>
      </c>
      <c r="B94" s="413" t="s">
        <v>239</v>
      </c>
      <c r="C94" s="413" t="s">
        <v>240</v>
      </c>
      <c r="D94" s="63" t="s">
        <v>197</v>
      </c>
    </row>
    <row r="95" spans="1:4" ht="15">
      <c r="A95" s="419" t="s">
        <v>118</v>
      </c>
      <c r="B95" s="419" t="s">
        <v>424</v>
      </c>
      <c r="C95" s="419"/>
      <c r="D95" s="420"/>
    </row>
    <row r="96" spans="1:5" s="398" customFormat="1" ht="14.25">
      <c r="A96" s="421">
        <v>1</v>
      </c>
      <c r="B96" s="422" t="s">
        <v>82</v>
      </c>
      <c r="C96" s="421">
        <v>1</v>
      </c>
      <c r="D96" s="423">
        <f>G5</f>
        <v>1215985.2750000001</v>
      </c>
      <c r="E96" s="397"/>
    </row>
    <row r="97" spans="1:4" ht="14.25">
      <c r="A97" s="424" t="s">
        <v>11</v>
      </c>
      <c r="B97" s="425" t="s">
        <v>421</v>
      </c>
      <c r="C97" s="424">
        <v>0.3</v>
      </c>
      <c r="D97" s="426">
        <f>$D$96*C97</f>
        <v>364795.5825</v>
      </c>
    </row>
    <row r="98" spans="1:4" ht="14.25">
      <c r="A98" s="424" t="s">
        <v>12</v>
      </c>
      <c r="B98" s="425" t="s">
        <v>422</v>
      </c>
      <c r="C98" s="424">
        <v>0.7</v>
      </c>
      <c r="D98" s="426">
        <f>$D$96*C98</f>
        <v>851189.6925</v>
      </c>
    </row>
    <row r="99" spans="1:5" s="398" customFormat="1" ht="14.25">
      <c r="A99" s="421">
        <v>2</v>
      </c>
      <c r="B99" s="422" t="s">
        <v>97</v>
      </c>
      <c r="C99" s="421">
        <v>1</v>
      </c>
      <c r="D99" s="427">
        <f>G14</f>
        <v>4145369.6024999996</v>
      </c>
      <c r="E99" s="397"/>
    </row>
    <row r="100" spans="1:4" ht="14.25">
      <c r="A100" s="424" t="s">
        <v>13</v>
      </c>
      <c r="B100" s="425" t="s">
        <v>68</v>
      </c>
      <c r="C100" s="424">
        <v>0.2</v>
      </c>
      <c r="D100" s="426">
        <f>$D$99*C100</f>
        <v>829073.9205</v>
      </c>
    </row>
    <row r="101" spans="1:4" ht="14.25">
      <c r="A101" s="424" t="s">
        <v>14</v>
      </c>
      <c r="B101" s="425" t="s">
        <v>97</v>
      </c>
      <c r="C101" s="424">
        <v>0.7</v>
      </c>
      <c r="D101" s="426">
        <f>$D$99*C101</f>
        <v>2901758.7217499996</v>
      </c>
    </row>
    <row r="102" spans="1:4" ht="14.25">
      <c r="A102" s="424" t="s">
        <v>15</v>
      </c>
      <c r="B102" s="425" t="s">
        <v>423</v>
      </c>
      <c r="C102" s="424">
        <v>0.1</v>
      </c>
      <c r="D102" s="428">
        <f>$D$99*C102</f>
        <v>414536.96025</v>
      </c>
    </row>
    <row r="103" spans="1:5" s="398" customFormat="1" ht="14.25">
      <c r="A103" s="421">
        <v>3</v>
      </c>
      <c r="B103" s="422" t="s">
        <v>100</v>
      </c>
      <c r="C103" s="421">
        <v>1</v>
      </c>
      <c r="D103" s="427">
        <f>G23</f>
        <v>802588.5</v>
      </c>
      <c r="E103" s="397"/>
    </row>
    <row r="104" spans="1:5" s="398" customFormat="1" ht="14.25">
      <c r="A104" s="429">
        <v>4</v>
      </c>
      <c r="B104" s="430" t="s">
        <v>286</v>
      </c>
      <c r="C104" s="429">
        <v>1</v>
      </c>
      <c r="D104" s="431">
        <f>G32</f>
        <v>1358880</v>
      </c>
      <c r="E104" s="397"/>
    </row>
    <row r="105" spans="1:4" ht="15">
      <c r="A105" s="111"/>
      <c r="B105" s="126"/>
      <c r="C105" s="99"/>
      <c r="D105" s="62"/>
    </row>
  </sheetData>
  <sheetProtection/>
  <mergeCells count="2">
    <mergeCell ref="A2:G2"/>
    <mergeCell ref="A1:G1"/>
  </mergeCells>
  <printOptions/>
  <pageMargins left="0.81" right="0.41" top="0.34" bottom="0.36" header="0.17" footer="0.16"/>
  <pageSetup horizontalDpi="600" verticalDpi="600" orientation="landscape" paperSize="9" r:id="rId1"/>
  <headerFooter alignWithMargins="0">
    <oddFooter>&amp;C&amp;A&amp;RPage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25">
      <selection activeCell="E34" sqref="E34"/>
    </sheetView>
  </sheetViews>
  <sheetFormatPr defaultColWidth="9.140625" defaultRowHeight="19.5" customHeight="1"/>
  <cols>
    <col min="1" max="1" width="9.140625" style="136" customWidth="1"/>
    <col min="2" max="2" width="34.28125" style="136" customWidth="1"/>
    <col min="3" max="3" width="10.421875" style="136" customWidth="1"/>
    <col min="4" max="4" width="12.421875" style="136" customWidth="1"/>
    <col min="5" max="5" width="11.421875" style="136" customWidth="1"/>
    <col min="6" max="6" width="13.57421875" style="136" customWidth="1"/>
    <col min="7" max="7" width="9.140625" style="136" customWidth="1"/>
    <col min="8" max="8" width="10.421875" style="136" customWidth="1"/>
    <col min="9" max="16384" width="9.140625" style="136" customWidth="1"/>
  </cols>
  <sheetData>
    <row r="1" spans="1:6" ht="19.5" customHeight="1">
      <c r="A1" s="458" t="s">
        <v>243</v>
      </c>
      <c r="B1" s="458"/>
      <c r="C1" s="458"/>
      <c r="D1" s="458"/>
      <c r="E1" s="458"/>
      <c r="F1" s="458"/>
    </row>
    <row r="2" spans="1:6" ht="19.5" customHeight="1">
      <c r="A2" s="458" t="s">
        <v>589</v>
      </c>
      <c r="B2" s="458"/>
      <c r="C2" s="458"/>
      <c r="D2" s="458"/>
      <c r="E2" s="458"/>
      <c r="F2" s="458"/>
    </row>
    <row r="4" spans="1:8" ht="31.5" customHeight="1">
      <c r="A4" s="133" t="s">
        <v>238</v>
      </c>
      <c r="B4" s="133" t="s">
        <v>191</v>
      </c>
      <c r="C4" s="133" t="s">
        <v>192</v>
      </c>
      <c r="D4" s="133" t="s">
        <v>193</v>
      </c>
      <c r="E4" s="183" t="s">
        <v>194</v>
      </c>
      <c r="F4" s="183" t="s">
        <v>252</v>
      </c>
      <c r="G4" s="133" t="s">
        <v>245</v>
      </c>
      <c r="H4" s="134" t="s">
        <v>197</v>
      </c>
    </row>
    <row r="5" spans="1:8" ht="19.5" customHeight="1">
      <c r="A5" s="321">
        <v>1</v>
      </c>
      <c r="B5" s="346" t="s">
        <v>246</v>
      </c>
      <c r="C5" s="321" t="s">
        <v>199</v>
      </c>
      <c r="D5" s="321">
        <v>9</v>
      </c>
      <c r="E5" s="195">
        <f>Dungcu_B_BQ_CC!E4</f>
        <v>150000</v>
      </c>
      <c r="F5" s="195">
        <f>E5/(D5*26)</f>
        <v>641.025641025641</v>
      </c>
      <c r="G5" s="321">
        <v>16</v>
      </c>
      <c r="H5" s="195">
        <f>F5*G5</f>
        <v>10256.410256410256</v>
      </c>
    </row>
    <row r="6" spans="1:8" ht="19.5" customHeight="1">
      <c r="A6" s="321">
        <v>2</v>
      </c>
      <c r="B6" s="346" t="s">
        <v>200</v>
      </c>
      <c r="C6" s="321" t="s">
        <v>201</v>
      </c>
      <c r="D6" s="321">
        <v>6</v>
      </c>
      <c r="E6" s="195">
        <f>Dungcu_B_BQ_CC!E6</f>
        <v>20000</v>
      </c>
      <c r="F6" s="195">
        <f aca="true" t="shared" si="0" ref="F6:F34">E6/(D6*26)</f>
        <v>128.2051282051282</v>
      </c>
      <c r="G6" s="321">
        <v>16</v>
      </c>
      <c r="H6" s="195">
        <f aca="true" t="shared" si="1" ref="H6:H35">F6*G6</f>
        <v>2051.2820512820513</v>
      </c>
    </row>
    <row r="7" spans="1:8" ht="19.5" customHeight="1">
      <c r="A7" s="321">
        <v>3</v>
      </c>
      <c r="B7" s="346" t="s">
        <v>202</v>
      </c>
      <c r="C7" s="321" t="s">
        <v>199</v>
      </c>
      <c r="D7" s="321">
        <v>36</v>
      </c>
      <c r="E7" s="195">
        <f>Dungcu_B_BQ_CC!E7</f>
        <v>30000</v>
      </c>
      <c r="F7" s="195">
        <f t="shared" si="0"/>
        <v>32.05128205128205</v>
      </c>
      <c r="G7" s="321">
        <v>0.05</v>
      </c>
      <c r="H7" s="195">
        <f t="shared" si="1"/>
        <v>1.6025641025641026</v>
      </c>
    </row>
    <row r="8" spans="1:8" ht="19.5" customHeight="1">
      <c r="A8" s="321">
        <v>4</v>
      </c>
      <c r="B8" s="346" t="s">
        <v>203</v>
      </c>
      <c r="C8" s="321" t="s">
        <v>199</v>
      </c>
      <c r="D8" s="321">
        <v>48</v>
      </c>
      <c r="E8" s="195">
        <f>Dungcu_B_BQ_CC!E8</f>
        <v>40000</v>
      </c>
      <c r="F8" s="195">
        <f t="shared" si="0"/>
        <v>32.05128205128205</v>
      </c>
      <c r="G8" s="321">
        <v>0.03</v>
      </c>
      <c r="H8" s="195">
        <f t="shared" si="1"/>
        <v>0.9615384615384615</v>
      </c>
    </row>
    <row r="9" spans="1:8" ht="19.5" customHeight="1">
      <c r="A9" s="321">
        <v>5</v>
      </c>
      <c r="B9" s="346" t="s">
        <v>247</v>
      </c>
      <c r="C9" s="321" t="s">
        <v>199</v>
      </c>
      <c r="D9" s="321">
        <v>60</v>
      </c>
      <c r="E9" s="195">
        <f>Dungcu_B_BQ_CC!E5</f>
        <v>1200000</v>
      </c>
      <c r="F9" s="195">
        <f t="shared" si="0"/>
        <v>769.2307692307693</v>
      </c>
      <c r="G9" s="321">
        <v>16</v>
      </c>
      <c r="H9" s="195">
        <f t="shared" si="1"/>
        <v>12307.692307692309</v>
      </c>
    </row>
    <row r="10" spans="1:8" ht="19.5" customHeight="1">
      <c r="A10" s="321">
        <v>6</v>
      </c>
      <c r="B10" s="346" t="s">
        <v>205</v>
      </c>
      <c r="C10" s="321" t="s">
        <v>199</v>
      </c>
      <c r="D10" s="321">
        <v>48</v>
      </c>
      <c r="E10" s="195">
        <f>Dungcu_B_BQ_CC!E9</f>
        <v>2200000</v>
      </c>
      <c r="F10" s="195">
        <f t="shared" si="0"/>
        <v>1762.820512820513</v>
      </c>
      <c r="G10" s="321">
        <v>16</v>
      </c>
      <c r="H10" s="195">
        <f t="shared" si="1"/>
        <v>28205.128205128207</v>
      </c>
    </row>
    <row r="11" spans="1:8" ht="19.5" customHeight="1">
      <c r="A11" s="321">
        <v>7</v>
      </c>
      <c r="B11" s="346" t="s">
        <v>206</v>
      </c>
      <c r="C11" s="321" t="s">
        <v>199</v>
      </c>
      <c r="D11" s="321">
        <v>1</v>
      </c>
      <c r="E11" s="195">
        <f>Dungcu_B_BQ_CC!E10</f>
        <v>3000</v>
      </c>
      <c r="F11" s="195">
        <f t="shared" si="0"/>
        <v>115.38461538461539</v>
      </c>
      <c r="G11" s="321">
        <v>0.5</v>
      </c>
      <c r="H11" s="195">
        <f t="shared" si="1"/>
        <v>57.69230769230769</v>
      </c>
    </row>
    <row r="12" spans="1:8" ht="19.5" customHeight="1">
      <c r="A12" s="321">
        <v>8</v>
      </c>
      <c r="B12" s="346" t="s">
        <v>207</v>
      </c>
      <c r="C12" s="321" t="s">
        <v>199</v>
      </c>
      <c r="D12" s="321">
        <v>1</v>
      </c>
      <c r="E12" s="195">
        <f>Dungcu_B_BQ_CC!E11</f>
        <v>6000</v>
      </c>
      <c r="F12" s="195">
        <f t="shared" si="0"/>
        <v>230.76923076923077</v>
      </c>
      <c r="G12" s="321">
        <v>0.5</v>
      </c>
      <c r="H12" s="195">
        <f t="shared" si="1"/>
        <v>115.38461538461539</v>
      </c>
    </row>
    <row r="13" spans="1:8" ht="19.5" customHeight="1">
      <c r="A13" s="321">
        <v>9</v>
      </c>
      <c r="B13" s="346" t="s">
        <v>208</v>
      </c>
      <c r="C13" s="321" t="s">
        <v>199</v>
      </c>
      <c r="D13" s="321">
        <v>2</v>
      </c>
      <c r="E13" s="195">
        <f>Dungcu_B_BQ_CC!E12</f>
        <v>12000</v>
      </c>
      <c r="F13" s="195">
        <f t="shared" si="0"/>
        <v>230.76923076923077</v>
      </c>
      <c r="G13" s="321">
        <v>0.05</v>
      </c>
      <c r="H13" s="195">
        <f t="shared" si="1"/>
        <v>11.53846153846154</v>
      </c>
    </row>
    <row r="14" spans="1:8" ht="19.5" customHeight="1">
      <c r="A14" s="321">
        <v>10</v>
      </c>
      <c r="B14" s="346" t="s">
        <v>209</v>
      </c>
      <c r="C14" s="321" t="s">
        <v>199</v>
      </c>
      <c r="D14" s="321">
        <v>24</v>
      </c>
      <c r="E14" s="195">
        <f>Dungcu_B_BQ_CC!E13</f>
        <v>200000</v>
      </c>
      <c r="F14" s="195">
        <f t="shared" si="0"/>
        <v>320.5128205128205</v>
      </c>
      <c r="G14" s="321">
        <v>16</v>
      </c>
      <c r="H14" s="195">
        <f t="shared" si="1"/>
        <v>5128.205128205128</v>
      </c>
    </row>
    <row r="15" spans="1:8" ht="19.5" customHeight="1">
      <c r="A15" s="321">
        <v>11</v>
      </c>
      <c r="B15" s="346" t="s">
        <v>210</v>
      </c>
      <c r="C15" s="321" t="s">
        <v>199</v>
      </c>
      <c r="D15" s="321">
        <v>36</v>
      </c>
      <c r="E15" s="195">
        <f>Dungcu_B_BQ_CC!E14</f>
        <v>120000</v>
      </c>
      <c r="F15" s="195">
        <f t="shared" si="0"/>
        <v>128.2051282051282</v>
      </c>
      <c r="G15" s="321">
        <v>4</v>
      </c>
      <c r="H15" s="195">
        <f t="shared" si="1"/>
        <v>512.8205128205128</v>
      </c>
    </row>
    <row r="16" spans="1:8" ht="19.5" customHeight="1">
      <c r="A16" s="321">
        <v>12</v>
      </c>
      <c r="B16" s="346" t="s">
        <v>211</v>
      </c>
      <c r="C16" s="321" t="s">
        <v>199</v>
      </c>
      <c r="D16" s="321">
        <v>12</v>
      </c>
      <c r="E16" s="195">
        <f>Dungcu_B_BQ_CC!E15</f>
        <v>16000</v>
      </c>
      <c r="F16" s="195">
        <f t="shared" si="0"/>
        <v>51.282051282051285</v>
      </c>
      <c r="G16" s="321">
        <v>0.05</v>
      </c>
      <c r="H16" s="195">
        <f t="shared" si="1"/>
        <v>2.5641025641025643</v>
      </c>
    </row>
    <row r="17" spans="1:8" ht="19.5" customHeight="1">
      <c r="A17" s="321">
        <v>13</v>
      </c>
      <c r="B17" s="346" t="s">
        <v>212</v>
      </c>
      <c r="C17" s="321" t="s">
        <v>199</v>
      </c>
      <c r="D17" s="321">
        <v>60</v>
      </c>
      <c r="E17" s="195">
        <f>Dungcu_A_TN_KT_BG!E17</f>
        <v>4200000</v>
      </c>
      <c r="F17" s="195">
        <f t="shared" si="0"/>
        <v>2692.3076923076924</v>
      </c>
      <c r="G17" s="321">
        <v>4</v>
      </c>
      <c r="H17" s="195">
        <f t="shared" si="1"/>
        <v>10769.23076923077</v>
      </c>
    </row>
    <row r="18" spans="1:8" ht="19.5" customHeight="1">
      <c r="A18" s="321">
        <v>14</v>
      </c>
      <c r="B18" s="346" t="s">
        <v>225</v>
      </c>
      <c r="C18" s="321" t="s">
        <v>199</v>
      </c>
      <c r="D18" s="321">
        <v>36</v>
      </c>
      <c r="E18" s="195">
        <f>Dungcu_B_BQ_CC!E16</f>
        <v>300000</v>
      </c>
      <c r="F18" s="195">
        <f t="shared" si="0"/>
        <v>320.5128205128205</v>
      </c>
      <c r="G18" s="321">
        <v>0.5</v>
      </c>
      <c r="H18" s="195">
        <f t="shared" si="1"/>
        <v>160.25641025641025</v>
      </c>
    </row>
    <row r="19" spans="1:8" ht="19.5" customHeight="1">
      <c r="A19" s="321">
        <v>15</v>
      </c>
      <c r="B19" s="346" t="s">
        <v>250</v>
      </c>
      <c r="C19" s="321" t="s">
        <v>199</v>
      </c>
      <c r="D19" s="321">
        <v>60</v>
      </c>
      <c r="E19" s="195">
        <f>Dungcu_B_BQ_CC!E17</f>
        <v>3000000</v>
      </c>
      <c r="F19" s="195">
        <f t="shared" si="0"/>
        <v>1923.076923076923</v>
      </c>
      <c r="G19" s="321">
        <v>4</v>
      </c>
      <c r="H19" s="195">
        <f t="shared" si="1"/>
        <v>7692.307692307692</v>
      </c>
    </row>
    <row r="20" spans="1:8" ht="19.5" customHeight="1">
      <c r="A20" s="321">
        <v>16</v>
      </c>
      <c r="B20" s="346" t="s">
        <v>213</v>
      </c>
      <c r="C20" s="321" t="s">
        <v>199</v>
      </c>
      <c r="D20" s="321">
        <v>60</v>
      </c>
      <c r="E20" s="195">
        <f>Dungcu_A_BC!E17</f>
        <v>3200000</v>
      </c>
      <c r="F20" s="195">
        <f t="shared" si="0"/>
        <v>2051.2820512820513</v>
      </c>
      <c r="G20" s="321">
        <v>4</v>
      </c>
      <c r="H20" s="195">
        <f t="shared" si="1"/>
        <v>8205.128205128205</v>
      </c>
    </row>
    <row r="21" spans="1:8" ht="19.5" customHeight="1">
      <c r="A21" s="321">
        <v>17</v>
      </c>
      <c r="B21" s="346" t="s">
        <v>454</v>
      </c>
      <c r="C21" s="321" t="s">
        <v>199</v>
      </c>
      <c r="D21" s="321">
        <v>24</v>
      </c>
      <c r="E21" s="348">
        <f>Dungcu_B_BQ_CC!E18</f>
        <v>30000</v>
      </c>
      <c r="F21" s="195">
        <f t="shared" si="0"/>
        <v>48.07692307692308</v>
      </c>
      <c r="G21" s="321">
        <v>0.1</v>
      </c>
      <c r="H21" s="195">
        <f t="shared" si="1"/>
        <v>4.807692307692308</v>
      </c>
    </row>
    <row r="22" spans="1:8" ht="19.5" customHeight="1">
      <c r="A22" s="321">
        <v>18</v>
      </c>
      <c r="B22" s="346" t="s">
        <v>215</v>
      </c>
      <c r="C22" s="321" t="s">
        <v>199</v>
      </c>
      <c r="D22" s="321">
        <v>12</v>
      </c>
      <c r="E22" s="195">
        <f>Dungcu_B_BQ_CC!E19</f>
        <v>325000</v>
      </c>
      <c r="F22" s="195">
        <f t="shared" si="0"/>
        <v>1041.6666666666667</v>
      </c>
      <c r="G22" s="321">
        <v>4</v>
      </c>
      <c r="H22" s="195">
        <f t="shared" si="1"/>
        <v>4166.666666666667</v>
      </c>
    </row>
    <row r="23" spans="1:8" ht="19.5" customHeight="1">
      <c r="A23" s="321">
        <v>19</v>
      </c>
      <c r="B23" s="346" t="s">
        <v>248</v>
      </c>
      <c r="C23" s="321" t="s">
        <v>199</v>
      </c>
      <c r="D23" s="321">
        <v>60</v>
      </c>
      <c r="E23" s="195">
        <f>Dungcu_B_BQ_CC!E20</f>
        <v>1200000</v>
      </c>
      <c r="F23" s="195">
        <f t="shared" si="0"/>
        <v>769.2307692307693</v>
      </c>
      <c r="G23" s="321">
        <v>16</v>
      </c>
      <c r="H23" s="195">
        <f t="shared" si="1"/>
        <v>12307.692307692309</v>
      </c>
    </row>
    <row r="24" spans="1:8" ht="19.5" customHeight="1">
      <c r="A24" s="321">
        <v>20</v>
      </c>
      <c r="B24" s="346" t="s">
        <v>217</v>
      </c>
      <c r="C24" s="321" t="s">
        <v>199</v>
      </c>
      <c r="D24" s="321">
        <v>12</v>
      </c>
      <c r="E24" s="195">
        <f>Dungcu_B_BQ_CC!E21</f>
        <v>180000</v>
      </c>
      <c r="F24" s="195">
        <f t="shared" si="0"/>
        <v>576.9230769230769</v>
      </c>
      <c r="G24" s="321">
        <v>4</v>
      </c>
      <c r="H24" s="195">
        <f t="shared" si="1"/>
        <v>2307.6923076923076</v>
      </c>
    </row>
    <row r="25" spans="1:8" ht="19.5" customHeight="1">
      <c r="A25" s="321">
        <v>21</v>
      </c>
      <c r="B25" s="346" t="s">
        <v>218</v>
      </c>
      <c r="C25" s="321" t="s">
        <v>199</v>
      </c>
      <c r="D25" s="321">
        <v>12</v>
      </c>
      <c r="E25" s="195">
        <f>Dungcu_B_BQ_CC!E22</f>
        <v>600000</v>
      </c>
      <c r="F25" s="195">
        <f t="shared" si="0"/>
        <v>1923.076923076923</v>
      </c>
      <c r="G25" s="321">
        <v>4</v>
      </c>
      <c r="H25" s="195">
        <f t="shared" si="1"/>
        <v>7692.307692307692</v>
      </c>
    </row>
    <row r="26" spans="1:8" ht="19.5" customHeight="1">
      <c r="A26" s="321">
        <v>22</v>
      </c>
      <c r="B26" s="346" t="s">
        <v>528</v>
      </c>
      <c r="C26" s="321" t="s">
        <v>199</v>
      </c>
      <c r="D26" s="321">
        <v>60</v>
      </c>
      <c r="E26" s="110">
        <v>300000</v>
      </c>
      <c r="F26" s="195">
        <f t="shared" si="0"/>
        <v>192.30769230769232</v>
      </c>
      <c r="G26" s="321">
        <v>0.1</v>
      </c>
      <c r="H26" s="195">
        <f t="shared" si="1"/>
        <v>19.230769230769234</v>
      </c>
    </row>
    <row r="27" spans="1:8" ht="19.5" customHeight="1">
      <c r="A27" s="321">
        <v>23</v>
      </c>
      <c r="B27" s="346" t="s">
        <v>529</v>
      </c>
      <c r="C27" s="321" t="s">
        <v>199</v>
      </c>
      <c r="D27" s="321">
        <v>48</v>
      </c>
      <c r="E27" s="349">
        <v>100000</v>
      </c>
      <c r="F27" s="195">
        <f t="shared" si="0"/>
        <v>80.12820512820512</v>
      </c>
      <c r="G27" s="321">
        <v>0.05</v>
      </c>
      <c r="H27" s="195">
        <f t="shared" si="1"/>
        <v>4.006410256410256</v>
      </c>
    </row>
    <row r="28" spans="1:8" ht="19.5" customHeight="1">
      <c r="A28" s="321">
        <v>24</v>
      </c>
      <c r="B28" s="346" t="s">
        <v>530</v>
      </c>
      <c r="C28" s="321" t="s">
        <v>531</v>
      </c>
      <c r="D28" s="321">
        <v>3</v>
      </c>
      <c r="E28" s="110">
        <v>50000</v>
      </c>
      <c r="F28" s="195">
        <f t="shared" si="0"/>
        <v>641.025641025641</v>
      </c>
      <c r="G28" s="321">
        <v>4</v>
      </c>
      <c r="H28" s="195">
        <f t="shared" si="1"/>
        <v>2564.102564102564</v>
      </c>
    </row>
    <row r="29" spans="1:8" ht="19.5" customHeight="1">
      <c r="A29" s="321">
        <v>25</v>
      </c>
      <c r="B29" s="346" t="s">
        <v>455</v>
      </c>
      <c r="C29" s="321" t="s">
        <v>199</v>
      </c>
      <c r="D29" s="321">
        <v>12</v>
      </c>
      <c r="E29" s="195">
        <f>Dungcu_B_BQ_CC!E24</f>
        <v>30000</v>
      </c>
      <c r="F29" s="195">
        <f t="shared" si="0"/>
        <v>96.15384615384616</v>
      </c>
      <c r="G29" s="321">
        <v>4</v>
      </c>
      <c r="H29" s="195">
        <f t="shared" si="1"/>
        <v>384.61538461538464</v>
      </c>
    </row>
    <row r="30" spans="1:8" ht="19.5" customHeight="1">
      <c r="A30" s="321">
        <v>26</v>
      </c>
      <c r="B30" s="346" t="s">
        <v>456</v>
      </c>
      <c r="C30" s="321" t="s">
        <v>222</v>
      </c>
      <c r="D30" s="321">
        <v>30</v>
      </c>
      <c r="E30" s="110">
        <f>40000</f>
        <v>40000</v>
      </c>
      <c r="F30" s="195">
        <f t="shared" si="0"/>
        <v>51.282051282051285</v>
      </c>
      <c r="G30" s="321">
        <v>16</v>
      </c>
      <c r="H30" s="195">
        <f t="shared" si="1"/>
        <v>820.5128205128206</v>
      </c>
    </row>
    <row r="31" spans="1:8" ht="19.5" customHeight="1">
      <c r="A31" s="321">
        <v>37</v>
      </c>
      <c r="B31" s="346" t="s">
        <v>227</v>
      </c>
      <c r="C31" s="321" t="s">
        <v>199</v>
      </c>
      <c r="D31" s="321">
        <v>36</v>
      </c>
      <c r="E31" s="195">
        <f>Dungcu_B_BQ_CC!E28</f>
        <v>300000</v>
      </c>
      <c r="F31" s="195">
        <f t="shared" si="0"/>
        <v>320.5128205128205</v>
      </c>
      <c r="G31" s="321">
        <v>2.68</v>
      </c>
      <c r="H31" s="195">
        <f t="shared" si="1"/>
        <v>858.974358974359</v>
      </c>
    </row>
    <row r="32" spans="1:8" ht="19.5" customHeight="1">
      <c r="A32" s="321">
        <v>38</v>
      </c>
      <c r="B32" s="346" t="s">
        <v>532</v>
      </c>
      <c r="C32" s="321" t="s">
        <v>199</v>
      </c>
      <c r="D32" s="321">
        <v>36</v>
      </c>
      <c r="E32" s="195">
        <f>Dungcu_B_BQ_CC!E29</f>
        <v>550000</v>
      </c>
      <c r="F32" s="195">
        <f t="shared" si="0"/>
        <v>587.6068376068376</v>
      </c>
      <c r="G32" s="321">
        <v>2.68</v>
      </c>
      <c r="H32" s="195">
        <f t="shared" si="1"/>
        <v>1574.786324786325</v>
      </c>
    </row>
    <row r="33" spans="1:8" ht="19.5" customHeight="1">
      <c r="A33" s="321">
        <v>39</v>
      </c>
      <c r="B33" s="346" t="s">
        <v>223</v>
      </c>
      <c r="C33" s="321" t="s">
        <v>199</v>
      </c>
      <c r="D33" s="321">
        <v>60</v>
      </c>
      <c r="E33" s="195">
        <f>Dungcu_B_BQ_CC!E26</f>
        <v>1200000</v>
      </c>
      <c r="F33" s="195">
        <f t="shared" si="0"/>
        <v>769.2307692307693</v>
      </c>
      <c r="G33" s="321">
        <v>1</v>
      </c>
      <c r="H33" s="195">
        <f t="shared" si="1"/>
        <v>769.2307692307693</v>
      </c>
    </row>
    <row r="34" spans="1:8" ht="19.5" customHeight="1">
      <c r="A34" s="321">
        <v>40</v>
      </c>
      <c r="B34" s="346" t="s">
        <v>224</v>
      </c>
      <c r="C34" s="321" t="s">
        <v>199</v>
      </c>
      <c r="D34" s="321">
        <v>60</v>
      </c>
      <c r="E34" s="195">
        <f>Dungcu_B_BQ_CC!E27</f>
        <v>1500000</v>
      </c>
      <c r="F34" s="195">
        <f t="shared" si="0"/>
        <v>961.5384615384615</v>
      </c>
      <c r="G34" s="321">
        <v>0.12</v>
      </c>
      <c r="H34" s="195">
        <f t="shared" si="1"/>
        <v>115.38461538461539</v>
      </c>
    </row>
    <row r="35" spans="1:8" ht="19.5" customHeight="1">
      <c r="A35" s="321">
        <v>41</v>
      </c>
      <c r="B35" s="346" t="s">
        <v>229</v>
      </c>
      <c r="C35" s="321" t="s">
        <v>230</v>
      </c>
      <c r="D35" s="321"/>
      <c r="E35" s="110">
        <v>1725</v>
      </c>
      <c r="F35" s="195">
        <f>E35</f>
        <v>1725</v>
      </c>
      <c r="G35" s="321">
        <v>26.84</v>
      </c>
      <c r="H35" s="195">
        <f t="shared" si="1"/>
        <v>46299</v>
      </c>
    </row>
    <row r="36" spans="1:8" s="43" customFormat="1" ht="19.5" customHeight="1">
      <c r="A36" s="350"/>
      <c r="B36" s="134" t="s">
        <v>251</v>
      </c>
      <c r="C36" s="350"/>
      <c r="D36" s="350"/>
      <c r="E36" s="350"/>
      <c r="F36" s="350"/>
      <c r="G36" s="350"/>
      <c r="H36" s="316">
        <f>SUM(H5:H34)*1.05+H35</f>
        <v>171320.6266025641</v>
      </c>
    </row>
    <row r="38" spans="1:5" ht="19.5" customHeight="1">
      <c r="A38" s="450" t="s">
        <v>557</v>
      </c>
      <c r="B38" s="450"/>
      <c r="C38" s="450"/>
      <c r="D38" s="450"/>
      <c r="E38" s="450"/>
    </row>
    <row r="39" spans="1:5" ht="19.5" customHeight="1">
      <c r="A39" s="133" t="s">
        <v>238</v>
      </c>
      <c r="B39" s="133" t="s">
        <v>239</v>
      </c>
      <c r="C39" s="133" t="s">
        <v>192</v>
      </c>
      <c r="D39" s="133" t="s">
        <v>240</v>
      </c>
      <c r="E39" s="351" t="s">
        <v>197</v>
      </c>
    </row>
    <row r="40" spans="1:5" s="43" customFormat="1" ht="19.5" customHeight="1">
      <c r="A40" s="300"/>
      <c r="B40" s="352" t="s">
        <v>164</v>
      </c>
      <c r="C40" s="352"/>
      <c r="D40" s="300"/>
      <c r="E40" s="283">
        <f>H36</f>
        <v>171320.6266025641</v>
      </c>
    </row>
    <row r="41" spans="1:5" ht="19.5" customHeight="1">
      <c r="A41" s="56">
        <v>1</v>
      </c>
      <c r="B41" s="59" t="s">
        <v>165</v>
      </c>
      <c r="C41" s="56" t="s">
        <v>539</v>
      </c>
      <c r="D41" s="56">
        <v>0.2</v>
      </c>
      <c r="E41" s="99">
        <f>D41*E40</f>
        <v>34264.12532051282</v>
      </c>
    </row>
    <row r="42" spans="1:5" ht="19.5" customHeight="1">
      <c r="A42" s="56">
        <v>2</v>
      </c>
      <c r="B42" s="59" t="s">
        <v>166</v>
      </c>
      <c r="C42" s="56" t="s">
        <v>539</v>
      </c>
      <c r="D42" s="56">
        <v>0.4</v>
      </c>
      <c r="E42" s="99">
        <f aca="true" t="shared" si="2" ref="E42:E47">D42*E41</f>
        <v>13705.65012820513</v>
      </c>
    </row>
    <row r="43" spans="1:5" ht="19.5" customHeight="1">
      <c r="A43" s="56">
        <v>3</v>
      </c>
      <c r="B43" s="59" t="s">
        <v>69</v>
      </c>
      <c r="C43" s="56" t="s">
        <v>469</v>
      </c>
      <c r="D43" s="56">
        <v>0.6</v>
      </c>
      <c r="E43" s="99">
        <f t="shared" si="2"/>
        <v>8223.390076923079</v>
      </c>
    </row>
    <row r="44" spans="1:5" ht="19.5" customHeight="1">
      <c r="A44" s="56">
        <v>4</v>
      </c>
      <c r="B44" s="59" t="s">
        <v>167</v>
      </c>
      <c r="C44" s="56" t="s">
        <v>466</v>
      </c>
      <c r="D44" s="56">
        <v>3</v>
      </c>
      <c r="E44" s="99">
        <f t="shared" si="2"/>
        <v>24670.170230769236</v>
      </c>
    </row>
    <row r="45" spans="1:5" ht="19.5" customHeight="1">
      <c r="A45" s="56">
        <v>5</v>
      </c>
      <c r="B45" s="59" t="s">
        <v>168</v>
      </c>
      <c r="C45" s="56" t="s">
        <v>466</v>
      </c>
      <c r="D45" s="56">
        <v>1</v>
      </c>
      <c r="E45" s="99">
        <f t="shared" si="2"/>
        <v>24670.170230769236</v>
      </c>
    </row>
    <row r="46" spans="1:5" ht="19.5" customHeight="1">
      <c r="A46" s="101">
        <v>6</v>
      </c>
      <c r="B46" s="102" t="s">
        <v>169</v>
      </c>
      <c r="C46" s="101" t="s">
        <v>466</v>
      </c>
      <c r="D46" s="101">
        <v>3</v>
      </c>
      <c r="E46" s="104">
        <f t="shared" si="2"/>
        <v>74010.51069230771</v>
      </c>
    </row>
    <row r="47" spans="1:5" ht="19.5" customHeight="1">
      <c r="A47" s="321">
        <v>7</v>
      </c>
      <c r="B47" s="346" t="s">
        <v>170</v>
      </c>
      <c r="C47" s="321" t="s">
        <v>460</v>
      </c>
      <c r="D47" s="321">
        <v>0.01</v>
      </c>
      <c r="E47" s="195">
        <f t="shared" si="2"/>
        <v>740.1051069230771</v>
      </c>
    </row>
  </sheetData>
  <sheetProtection/>
  <mergeCells count="3">
    <mergeCell ref="A1:F1"/>
    <mergeCell ref="A2:F2"/>
    <mergeCell ref="A38:E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25">
      <selection activeCell="E29" sqref="E29"/>
    </sheetView>
  </sheetViews>
  <sheetFormatPr defaultColWidth="9.140625" defaultRowHeight="19.5" customHeight="1"/>
  <cols>
    <col min="2" max="2" width="33.421875" style="0" customWidth="1"/>
    <col min="3" max="3" width="11.28125" style="0" customWidth="1"/>
    <col min="4" max="4" width="17.421875" style="0" customWidth="1"/>
    <col min="5" max="5" width="12.57421875" style="244" customWidth="1"/>
    <col min="6" max="6" width="14.8515625" style="0" customWidth="1"/>
    <col min="7" max="7" width="11.8515625" style="0" customWidth="1"/>
    <col min="8" max="8" width="11.28125" style="0" customWidth="1"/>
  </cols>
  <sheetData>
    <row r="1" spans="1:7" ht="19.5" customHeight="1">
      <c r="A1" s="458" t="s">
        <v>243</v>
      </c>
      <c r="B1" s="458"/>
      <c r="C1" s="458"/>
      <c r="D1" s="458"/>
      <c r="E1" s="458"/>
      <c r="F1" s="458"/>
      <c r="G1" s="458"/>
    </row>
    <row r="2" spans="1:7" ht="19.5" customHeight="1">
      <c r="A2" s="458" t="s">
        <v>590</v>
      </c>
      <c r="B2" s="458"/>
      <c r="C2" s="458"/>
      <c r="D2" s="458"/>
      <c r="E2" s="458"/>
      <c r="F2" s="458"/>
      <c r="G2" s="458"/>
    </row>
    <row r="3" spans="1:8" ht="38.25" customHeight="1">
      <c r="A3" s="133" t="s">
        <v>238</v>
      </c>
      <c r="B3" s="133" t="s">
        <v>191</v>
      </c>
      <c r="C3" s="133" t="s">
        <v>192</v>
      </c>
      <c r="D3" s="133" t="s">
        <v>193</v>
      </c>
      <c r="E3" s="183" t="s">
        <v>194</v>
      </c>
      <c r="F3" s="183" t="s">
        <v>252</v>
      </c>
      <c r="G3" s="133" t="s">
        <v>245</v>
      </c>
      <c r="H3" s="134" t="s">
        <v>197</v>
      </c>
    </row>
    <row r="4" spans="1:8" ht="19.5" customHeight="1">
      <c r="A4" s="245">
        <v>1</v>
      </c>
      <c r="B4" s="252" t="s">
        <v>246</v>
      </c>
      <c r="C4" s="245" t="s">
        <v>199</v>
      </c>
      <c r="D4" s="253">
        <v>9</v>
      </c>
      <c r="E4" s="254">
        <f>Dungcu_A_TN_KT_BG!E5</f>
        <v>150000</v>
      </c>
      <c r="F4" s="254">
        <f>E4/(D4*26)</f>
        <v>641.025641025641</v>
      </c>
      <c r="G4" s="255">
        <v>9.6</v>
      </c>
      <c r="H4" s="246">
        <f>F4*G4</f>
        <v>6153.846153846153</v>
      </c>
    </row>
    <row r="5" spans="1:8" ht="19.5" customHeight="1">
      <c r="A5" s="245">
        <v>2</v>
      </c>
      <c r="B5" s="252" t="s">
        <v>247</v>
      </c>
      <c r="C5" s="245" t="s">
        <v>199</v>
      </c>
      <c r="D5" s="253">
        <v>60</v>
      </c>
      <c r="E5" s="254">
        <f>Dungcu_A_TN_KT_BG!E9</f>
        <v>1200000</v>
      </c>
      <c r="F5" s="254">
        <f aca="true" t="shared" si="0" ref="F5:F29">E5/(D5*26)</f>
        <v>769.2307692307693</v>
      </c>
      <c r="G5" s="255">
        <v>9.6</v>
      </c>
      <c r="H5" s="246">
        <f aca="true" t="shared" si="1" ref="H5:H30">F5*G5</f>
        <v>7384.615384615385</v>
      </c>
    </row>
    <row r="6" spans="1:8" ht="19.5" customHeight="1">
      <c r="A6" s="245">
        <v>3</v>
      </c>
      <c r="B6" s="252" t="s">
        <v>200</v>
      </c>
      <c r="C6" s="245" t="s">
        <v>201</v>
      </c>
      <c r="D6" s="253">
        <v>6</v>
      </c>
      <c r="E6" s="254">
        <f>Dungcu_A_TN_KT_BG!E6</f>
        <v>20000</v>
      </c>
      <c r="F6" s="254">
        <f t="shared" si="0"/>
        <v>128.2051282051282</v>
      </c>
      <c r="G6" s="255">
        <v>9.6</v>
      </c>
      <c r="H6" s="246">
        <f t="shared" si="1"/>
        <v>1230.7692307692307</v>
      </c>
    </row>
    <row r="7" spans="1:8" ht="19.5" customHeight="1">
      <c r="A7" s="245">
        <v>4</v>
      </c>
      <c r="B7" s="252" t="s">
        <v>202</v>
      </c>
      <c r="C7" s="245" t="s">
        <v>199</v>
      </c>
      <c r="D7" s="253">
        <v>36</v>
      </c>
      <c r="E7" s="254">
        <f>Dungcu_A_TN_KT_BG!E7</f>
        <v>30000</v>
      </c>
      <c r="F7" s="254">
        <f t="shared" si="0"/>
        <v>32.05128205128205</v>
      </c>
      <c r="G7" s="255">
        <v>0.01</v>
      </c>
      <c r="H7" s="246">
        <f t="shared" si="1"/>
        <v>0.32051282051282054</v>
      </c>
    </row>
    <row r="8" spans="1:8" ht="19.5" customHeight="1">
      <c r="A8" s="245">
        <v>5</v>
      </c>
      <c r="B8" s="252" t="s">
        <v>203</v>
      </c>
      <c r="C8" s="245" t="s">
        <v>199</v>
      </c>
      <c r="D8" s="253">
        <v>48</v>
      </c>
      <c r="E8" s="254">
        <f>Dungcu_A_TN_KT_BG!E8</f>
        <v>40000</v>
      </c>
      <c r="F8" s="254">
        <f t="shared" si="0"/>
        <v>32.05128205128205</v>
      </c>
      <c r="G8" s="255">
        <v>0.01</v>
      </c>
      <c r="H8" s="246">
        <f t="shared" si="1"/>
        <v>0.32051282051282054</v>
      </c>
    </row>
    <row r="9" spans="1:8" ht="19.5" customHeight="1">
      <c r="A9" s="245">
        <v>6</v>
      </c>
      <c r="B9" s="252" t="s">
        <v>205</v>
      </c>
      <c r="C9" s="245" t="s">
        <v>199</v>
      </c>
      <c r="D9" s="253">
        <v>48</v>
      </c>
      <c r="E9" s="254">
        <f>Dungcu_A_TN_KT_BG!E10</f>
        <v>2200000</v>
      </c>
      <c r="F9" s="254">
        <f t="shared" si="0"/>
        <v>1762.820512820513</v>
      </c>
      <c r="G9" s="255">
        <v>9.6</v>
      </c>
      <c r="H9" s="246">
        <f t="shared" si="1"/>
        <v>16923.076923076922</v>
      </c>
    </row>
    <row r="10" spans="1:8" ht="19.5" customHeight="1">
      <c r="A10" s="245">
        <v>7</v>
      </c>
      <c r="B10" s="252" t="s">
        <v>206</v>
      </c>
      <c r="C10" s="245" t="s">
        <v>199</v>
      </c>
      <c r="D10" s="253">
        <v>1</v>
      </c>
      <c r="E10" s="254">
        <f>Dungcu_A_TN_KT_BG!E11</f>
        <v>3000</v>
      </c>
      <c r="F10" s="254">
        <f t="shared" si="0"/>
        <v>115.38461538461539</v>
      </c>
      <c r="G10" s="255">
        <v>0.2</v>
      </c>
      <c r="H10" s="246">
        <f t="shared" si="1"/>
        <v>23.07692307692308</v>
      </c>
    </row>
    <row r="11" spans="1:8" ht="19.5" customHeight="1">
      <c r="A11" s="245">
        <v>8</v>
      </c>
      <c r="B11" s="252" t="s">
        <v>207</v>
      </c>
      <c r="C11" s="245" t="s">
        <v>199</v>
      </c>
      <c r="D11" s="253">
        <v>1</v>
      </c>
      <c r="E11" s="254">
        <f>Dungcu_A_TN_KT_BG!E12</f>
        <v>6000</v>
      </c>
      <c r="F11" s="254">
        <f t="shared" si="0"/>
        <v>230.76923076923077</v>
      </c>
      <c r="G11" s="255">
        <v>0.05</v>
      </c>
      <c r="H11" s="246">
        <f t="shared" si="1"/>
        <v>11.53846153846154</v>
      </c>
    </row>
    <row r="12" spans="1:8" ht="19.5" customHeight="1">
      <c r="A12" s="245">
        <v>9</v>
      </c>
      <c r="B12" s="252" t="s">
        <v>208</v>
      </c>
      <c r="C12" s="245" t="s">
        <v>199</v>
      </c>
      <c r="D12" s="253">
        <v>2</v>
      </c>
      <c r="E12" s="254">
        <f>Dungcu_A_TN_KT_BG!E13</f>
        <v>12000</v>
      </c>
      <c r="F12" s="254">
        <f t="shared" si="0"/>
        <v>230.76923076923077</v>
      </c>
      <c r="G12" s="255">
        <v>0.05</v>
      </c>
      <c r="H12" s="246">
        <f t="shared" si="1"/>
        <v>11.53846153846154</v>
      </c>
    </row>
    <row r="13" spans="1:8" ht="19.5" customHeight="1">
      <c r="A13" s="245">
        <v>10</v>
      </c>
      <c r="B13" s="252" t="s">
        <v>209</v>
      </c>
      <c r="C13" s="245" t="s">
        <v>199</v>
      </c>
      <c r="D13" s="253">
        <v>24</v>
      </c>
      <c r="E13" s="254">
        <f>Dungcu_A_TN_KT_BG!E14</f>
        <v>200000</v>
      </c>
      <c r="F13" s="254">
        <f t="shared" si="0"/>
        <v>320.5128205128205</v>
      </c>
      <c r="G13" s="255">
        <v>9.6</v>
      </c>
      <c r="H13" s="246">
        <f t="shared" si="1"/>
        <v>3076.9230769230767</v>
      </c>
    </row>
    <row r="14" spans="1:8" ht="19.5" customHeight="1">
      <c r="A14" s="245">
        <v>11</v>
      </c>
      <c r="B14" s="252" t="s">
        <v>210</v>
      </c>
      <c r="C14" s="245" t="s">
        <v>199</v>
      </c>
      <c r="D14" s="253">
        <v>36</v>
      </c>
      <c r="E14" s="254">
        <f>Dungcu_A_TN_KT_BG!E15</f>
        <v>120000</v>
      </c>
      <c r="F14" s="254">
        <f t="shared" si="0"/>
        <v>128.2051282051282</v>
      </c>
      <c r="G14" s="255">
        <v>2.4</v>
      </c>
      <c r="H14" s="246">
        <f t="shared" si="1"/>
        <v>307.6923076923077</v>
      </c>
    </row>
    <row r="15" spans="1:8" ht="19.5" customHeight="1">
      <c r="A15" s="245">
        <v>12</v>
      </c>
      <c r="B15" s="252" t="s">
        <v>211</v>
      </c>
      <c r="C15" s="245" t="s">
        <v>199</v>
      </c>
      <c r="D15" s="253">
        <v>12</v>
      </c>
      <c r="E15" s="254">
        <f>Dungcu_A_TN_KT_BG!E16</f>
        <v>16000</v>
      </c>
      <c r="F15" s="254">
        <f t="shared" si="0"/>
        <v>51.282051282051285</v>
      </c>
      <c r="G15" s="255">
        <v>0.05</v>
      </c>
      <c r="H15" s="246">
        <f t="shared" si="1"/>
        <v>2.5641025641025643</v>
      </c>
    </row>
    <row r="16" spans="1:8" ht="19.5" customHeight="1">
      <c r="A16" s="245">
        <v>13</v>
      </c>
      <c r="B16" s="252" t="s">
        <v>225</v>
      </c>
      <c r="C16" s="245" t="s">
        <v>199</v>
      </c>
      <c r="D16" s="253">
        <v>36</v>
      </c>
      <c r="E16" s="254">
        <f>Dungcu_A_TN_KT_BG!E29</f>
        <v>300000</v>
      </c>
      <c r="F16" s="254">
        <f t="shared" si="0"/>
        <v>320.5128205128205</v>
      </c>
      <c r="G16" s="255">
        <v>0.05</v>
      </c>
      <c r="H16" s="246">
        <f t="shared" si="1"/>
        <v>16.025641025641026</v>
      </c>
    </row>
    <row r="17" spans="1:8" ht="19.5" customHeight="1">
      <c r="A17" s="245">
        <v>14</v>
      </c>
      <c r="B17" s="252" t="s">
        <v>226</v>
      </c>
      <c r="C17" s="245" t="s">
        <v>199</v>
      </c>
      <c r="D17" s="253">
        <v>60</v>
      </c>
      <c r="E17" s="254">
        <f>Dungcu_A_TN_KT_BG!E30</f>
        <v>3000000</v>
      </c>
      <c r="F17" s="254">
        <f t="shared" si="0"/>
        <v>1923.076923076923</v>
      </c>
      <c r="G17" s="255">
        <v>2.4</v>
      </c>
      <c r="H17" s="246">
        <f t="shared" si="1"/>
        <v>4615.384615384615</v>
      </c>
    </row>
    <row r="18" spans="1:8" ht="19.5" customHeight="1">
      <c r="A18" s="245">
        <v>15</v>
      </c>
      <c r="B18" s="252" t="s">
        <v>454</v>
      </c>
      <c r="C18" s="245" t="s">
        <v>199</v>
      </c>
      <c r="D18" s="253">
        <v>24</v>
      </c>
      <c r="E18" s="255">
        <v>30000</v>
      </c>
      <c r="F18" s="254">
        <f t="shared" si="0"/>
        <v>48.07692307692308</v>
      </c>
      <c r="G18" s="255">
        <v>0.05</v>
      </c>
      <c r="H18" s="246">
        <f t="shared" si="1"/>
        <v>2.403846153846154</v>
      </c>
    </row>
    <row r="19" spans="1:8" ht="19.5" customHeight="1">
      <c r="A19" s="245">
        <v>16</v>
      </c>
      <c r="B19" s="252" t="s">
        <v>215</v>
      </c>
      <c r="C19" s="245" t="s">
        <v>199</v>
      </c>
      <c r="D19" s="253">
        <v>12</v>
      </c>
      <c r="E19" s="254">
        <f>Dungcu_A_TN_KT_BG!E20</f>
        <v>325000</v>
      </c>
      <c r="F19" s="254">
        <f t="shared" si="0"/>
        <v>1041.6666666666667</v>
      </c>
      <c r="G19" s="255">
        <v>2.4</v>
      </c>
      <c r="H19" s="246">
        <f t="shared" si="1"/>
        <v>2500</v>
      </c>
    </row>
    <row r="20" spans="1:8" ht="19.5" customHeight="1">
      <c r="A20" s="245">
        <v>17</v>
      </c>
      <c r="B20" s="252" t="s">
        <v>216</v>
      </c>
      <c r="C20" s="245" t="s">
        <v>199</v>
      </c>
      <c r="D20" s="253">
        <v>60</v>
      </c>
      <c r="E20" s="254">
        <f>Dungcu_A_TN_KT_BG!E21</f>
        <v>1200000</v>
      </c>
      <c r="F20" s="254">
        <f t="shared" si="0"/>
        <v>769.2307692307693</v>
      </c>
      <c r="G20" s="255">
        <v>8.48</v>
      </c>
      <c r="H20" s="246">
        <f t="shared" si="1"/>
        <v>6523.076923076924</v>
      </c>
    </row>
    <row r="21" spans="1:8" ht="19.5" customHeight="1">
      <c r="A21" s="245">
        <v>18</v>
      </c>
      <c r="B21" s="252" t="s">
        <v>217</v>
      </c>
      <c r="C21" s="245" t="s">
        <v>199</v>
      </c>
      <c r="D21" s="253">
        <v>4</v>
      </c>
      <c r="E21" s="254">
        <f>Dungcu_A_TN_KT_BG!E22</f>
        <v>180000</v>
      </c>
      <c r="F21" s="254">
        <f t="shared" si="0"/>
        <v>1730.7692307692307</v>
      </c>
      <c r="G21" s="255">
        <v>4</v>
      </c>
      <c r="H21" s="246">
        <f t="shared" si="1"/>
        <v>6923.076923076923</v>
      </c>
    </row>
    <row r="22" spans="1:8" ht="19.5" customHeight="1">
      <c r="A22" s="245">
        <v>19</v>
      </c>
      <c r="B22" s="252" t="s">
        <v>218</v>
      </c>
      <c r="C22" s="245" t="s">
        <v>199</v>
      </c>
      <c r="D22" s="253">
        <v>12</v>
      </c>
      <c r="E22" s="254">
        <f>Dungcu_A_TN_KT_BG!E23</f>
        <v>600000</v>
      </c>
      <c r="F22" s="254">
        <f t="shared" si="0"/>
        <v>1923.076923076923</v>
      </c>
      <c r="G22" s="255">
        <v>4</v>
      </c>
      <c r="H22" s="246">
        <f t="shared" si="1"/>
        <v>7692.307692307692</v>
      </c>
    </row>
    <row r="23" spans="1:8" ht="19.5" customHeight="1">
      <c r="A23" s="245">
        <v>20</v>
      </c>
      <c r="B23" s="252" t="s">
        <v>219</v>
      </c>
      <c r="C23" s="245" t="s">
        <v>199</v>
      </c>
      <c r="D23" s="253">
        <v>12</v>
      </c>
      <c r="E23" s="254">
        <f>Dungcu_A_TN_KT_BG!E24</f>
        <v>40000</v>
      </c>
      <c r="F23" s="254">
        <f t="shared" si="0"/>
        <v>128.2051282051282</v>
      </c>
      <c r="G23" s="255">
        <v>2.4</v>
      </c>
      <c r="H23" s="246">
        <f t="shared" si="1"/>
        <v>307.6923076923077</v>
      </c>
    </row>
    <row r="24" spans="1:8" ht="19.5" customHeight="1">
      <c r="A24" s="245">
        <v>21</v>
      </c>
      <c r="B24" s="252" t="s">
        <v>455</v>
      </c>
      <c r="C24" s="245" t="s">
        <v>199</v>
      </c>
      <c r="D24" s="253">
        <v>12</v>
      </c>
      <c r="E24" s="254">
        <f>Dungcu_A_TN_KT_BG!E25</f>
        <v>30000</v>
      </c>
      <c r="F24" s="254">
        <f t="shared" si="0"/>
        <v>96.15384615384616</v>
      </c>
      <c r="G24" s="255">
        <v>2.4</v>
      </c>
      <c r="H24" s="246">
        <f t="shared" si="1"/>
        <v>230.76923076923077</v>
      </c>
    </row>
    <row r="25" spans="1:8" ht="19.5" customHeight="1">
      <c r="A25" s="245">
        <v>22</v>
      </c>
      <c r="B25" s="252" t="s">
        <v>456</v>
      </c>
      <c r="C25" s="245" t="s">
        <v>222</v>
      </c>
      <c r="D25" s="253">
        <v>30</v>
      </c>
      <c r="E25" s="254">
        <f>Dungcu_A_TN_KT_BG!E26</f>
        <v>40000</v>
      </c>
      <c r="F25" s="254">
        <f t="shared" si="0"/>
        <v>51.282051282051285</v>
      </c>
      <c r="G25" s="255">
        <v>9.6</v>
      </c>
      <c r="H25" s="246">
        <f t="shared" si="1"/>
        <v>492.3076923076923</v>
      </c>
    </row>
    <row r="26" spans="1:8" ht="19.5" customHeight="1">
      <c r="A26" s="245">
        <v>23</v>
      </c>
      <c r="B26" s="252" t="s">
        <v>223</v>
      </c>
      <c r="C26" s="245" t="s">
        <v>199</v>
      </c>
      <c r="D26" s="253">
        <v>60</v>
      </c>
      <c r="E26" s="254">
        <f>Dungcu_A_TN_KT_BG!E27</f>
        <v>1200000</v>
      </c>
      <c r="F26" s="254">
        <f t="shared" si="0"/>
        <v>769.2307692307693</v>
      </c>
      <c r="G26" s="255">
        <v>0.6</v>
      </c>
      <c r="H26" s="246">
        <f t="shared" si="1"/>
        <v>461.53846153846155</v>
      </c>
    </row>
    <row r="27" spans="1:8" ht="19.5" customHeight="1">
      <c r="A27" s="245">
        <v>24</v>
      </c>
      <c r="B27" s="252" t="s">
        <v>249</v>
      </c>
      <c r="C27" s="245" t="s">
        <v>199</v>
      </c>
      <c r="D27" s="253">
        <v>60</v>
      </c>
      <c r="E27" s="254">
        <f>Dungcu_A_TN_KT_BG!E28</f>
        <v>1500000</v>
      </c>
      <c r="F27" s="254">
        <f t="shared" si="0"/>
        <v>961.5384615384615</v>
      </c>
      <c r="G27" s="255">
        <v>0.07</v>
      </c>
      <c r="H27" s="246">
        <f t="shared" si="1"/>
        <v>67.30769230769232</v>
      </c>
    </row>
    <row r="28" spans="1:8" ht="19.5" customHeight="1">
      <c r="A28" s="245">
        <v>25</v>
      </c>
      <c r="B28" s="252" t="s">
        <v>227</v>
      </c>
      <c r="C28" s="245" t="s">
        <v>199</v>
      </c>
      <c r="D28" s="253">
        <v>36</v>
      </c>
      <c r="E28" s="254">
        <f>Dungcu_A_TN_KT_BG!E31</f>
        <v>300000</v>
      </c>
      <c r="F28" s="254">
        <f t="shared" si="0"/>
        <v>320.5128205128205</v>
      </c>
      <c r="G28" s="255">
        <v>1.6</v>
      </c>
      <c r="H28" s="246">
        <f t="shared" si="1"/>
        <v>512.8205128205128</v>
      </c>
    </row>
    <row r="29" spans="1:8" ht="19.5" customHeight="1">
      <c r="A29" s="245">
        <v>26</v>
      </c>
      <c r="B29" s="252" t="s">
        <v>228</v>
      </c>
      <c r="C29" s="245" t="s">
        <v>199</v>
      </c>
      <c r="D29" s="253">
        <v>36</v>
      </c>
      <c r="E29" s="254">
        <f>Dungcu_A_TN_KT_BG!E32</f>
        <v>550000</v>
      </c>
      <c r="F29" s="254">
        <f t="shared" si="0"/>
        <v>587.6068376068376</v>
      </c>
      <c r="G29" s="255">
        <v>1.6</v>
      </c>
      <c r="H29" s="246">
        <f t="shared" si="1"/>
        <v>940.1709401709403</v>
      </c>
    </row>
    <row r="30" spans="1:8" ht="19.5" customHeight="1">
      <c r="A30" s="245">
        <v>37</v>
      </c>
      <c r="B30" s="252" t="s">
        <v>229</v>
      </c>
      <c r="C30" s="245" t="s">
        <v>230</v>
      </c>
      <c r="D30" s="253"/>
      <c r="E30" s="254">
        <f>Dungcu_A_TN_KT_BG!E33</f>
        <v>2200</v>
      </c>
      <c r="F30" s="254">
        <f>E30</f>
        <v>2200</v>
      </c>
      <c r="G30" s="255">
        <v>50.48</v>
      </c>
      <c r="H30" s="246">
        <f t="shared" si="1"/>
        <v>111056</v>
      </c>
    </row>
    <row r="31" spans="1:8" ht="19.5" customHeight="1">
      <c r="A31" s="224"/>
      <c r="B31" s="224" t="s">
        <v>251</v>
      </c>
      <c r="C31" s="224"/>
      <c r="D31" s="224"/>
      <c r="E31" s="224"/>
      <c r="F31" s="224"/>
      <c r="G31" s="224"/>
      <c r="H31" s="256">
        <f>SUM(H4:H29)*1.05+H30</f>
        <v>180787.72275641025</v>
      </c>
    </row>
    <row r="33" spans="1:6" ht="19.5" customHeight="1">
      <c r="A33" s="450" t="s">
        <v>557</v>
      </c>
      <c r="B33" s="450"/>
      <c r="C33" s="450"/>
      <c r="D33" s="450"/>
      <c r="E33" s="450"/>
      <c r="F33" s="311"/>
    </row>
    <row r="34" spans="1:5" ht="19.5" customHeight="1">
      <c r="A34" s="247" t="s">
        <v>238</v>
      </c>
      <c r="B34" s="247" t="s">
        <v>239</v>
      </c>
      <c r="C34" s="247" t="s">
        <v>192</v>
      </c>
      <c r="D34" s="247" t="s">
        <v>240</v>
      </c>
      <c r="E34" s="250" t="s">
        <v>197</v>
      </c>
    </row>
    <row r="35" spans="1:5" ht="41.25" customHeight="1">
      <c r="A35" s="248"/>
      <c r="B35" s="249" t="s">
        <v>458</v>
      </c>
      <c r="C35" s="248"/>
      <c r="D35" s="248"/>
      <c r="E35" s="246"/>
    </row>
    <row r="36" spans="1:5" s="43" customFormat="1" ht="19.5" customHeight="1">
      <c r="A36" s="247" t="s">
        <v>9</v>
      </c>
      <c r="B36" s="251" t="s">
        <v>121</v>
      </c>
      <c r="C36" s="247"/>
      <c r="D36" s="247"/>
      <c r="E36" s="250"/>
    </row>
    <row r="37" spans="1:5" ht="19.5" customHeight="1">
      <c r="A37" s="248">
        <v>1</v>
      </c>
      <c r="B37" s="249" t="s">
        <v>120</v>
      </c>
      <c r="C37" s="248" t="s">
        <v>468</v>
      </c>
      <c r="D37" s="257">
        <v>2.2</v>
      </c>
      <c r="E37" s="246">
        <f>ROUND($H$31*D37,0)</f>
        <v>397733</v>
      </c>
    </row>
    <row r="38" spans="1:5" ht="19.5" customHeight="1">
      <c r="A38" s="248">
        <v>2</v>
      </c>
      <c r="B38" s="249" t="s">
        <v>121</v>
      </c>
      <c r="C38" s="248"/>
      <c r="D38" s="257"/>
      <c r="E38" s="246">
        <f>E39+E46+E52</f>
        <v>616490</v>
      </c>
    </row>
    <row r="39" spans="1:5" ht="19.5" customHeight="1">
      <c r="A39" s="248" t="s">
        <v>13</v>
      </c>
      <c r="B39" s="249" t="s">
        <v>459</v>
      </c>
      <c r="C39" s="248"/>
      <c r="D39" s="257"/>
      <c r="E39" s="246">
        <f>E40+E41+E42+E43</f>
        <v>256720</v>
      </c>
    </row>
    <row r="40" spans="1:5" ht="19.5" customHeight="1">
      <c r="A40" s="248" t="s">
        <v>40</v>
      </c>
      <c r="B40" s="249" t="s">
        <v>69</v>
      </c>
      <c r="C40" s="248" t="s">
        <v>469</v>
      </c>
      <c r="D40" s="257">
        <v>1</v>
      </c>
      <c r="E40" s="246">
        <f aca="true" t="shared" si="2" ref="E40:E61">ROUND($H$31*D40,0)</f>
        <v>180788</v>
      </c>
    </row>
    <row r="41" spans="1:5" ht="19.5" customHeight="1">
      <c r="A41" s="248" t="s">
        <v>41</v>
      </c>
      <c r="B41" s="249" t="s">
        <v>123</v>
      </c>
      <c r="C41" s="248" t="s">
        <v>469</v>
      </c>
      <c r="D41" s="257">
        <v>0.33</v>
      </c>
      <c r="E41" s="246">
        <f t="shared" si="2"/>
        <v>59660</v>
      </c>
    </row>
    <row r="42" spans="1:5" ht="19.5" customHeight="1">
      <c r="A42" s="248" t="s">
        <v>124</v>
      </c>
      <c r="B42" s="249" t="s">
        <v>125</v>
      </c>
      <c r="C42" s="248" t="s">
        <v>460</v>
      </c>
      <c r="D42" s="257">
        <v>0.03</v>
      </c>
      <c r="E42" s="246">
        <f t="shared" si="2"/>
        <v>5424</v>
      </c>
    </row>
    <row r="43" spans="1:5" ht="19.5" customHeight="1">
      <c r="A43" s="248" t="s">
        <v>127</v>
      </c>
      <c r="B43" s="249" t="s">
        <v>128</v>
      </c>
      <c r="C43" s="248"/>
      <c r="D43" s="257"/>
      <c r="E43" s="246">
        <f>E44+E45</f>
        <v>10848</v>
      </c>
    </row>
    <row r="44" spans="1:5" ht="25.5" customHeight="1">
      <c r="A44" s="248" t="s">
        <v>129</v>
      </c>
      <c r="B44" s="249" t="s">
        <v>130</v>
      </c>
      <c r="C44" s="248" t="s">
        <v>461</v>
      </c>
      <c r="D44" s="257">
        <v>0.03</v>
      </c>
      <c r="E44" s="246">
        <f t="shared" si="2"/>
        <v>5424</v>
      </c>
    </row>
    <row r="45" spans="1:5" ht="19.5" customHeight="1">
      <c r="A45" s="248" t="s">
        <v>131</v>
      </c>
      <c r="B45" s="249" t="s">
        <v>132</v>
      </c>
      <c r="C45" s="248" t="s">
        <v>232</v>
      </c>
      <c r="D45" s="257">
        <v>0.03</v>
      </c>
      <c r="E45" s="246">
        <f t="shared" si="2"/>
        <v>5424</v>
      </c>
    </row>
    <row r="46" spans="1:5" ht="19.5" customHeight="1">
      <c r="A46" s="248" t="s">
        <v>14</v>
      </c>
      <c r="B46" s="249" t="s">
        <v>134</v>
      </c>
      <c r="C46" s="248"/>
      <c r="D46" s="257"/>
      <c r="E46" s="246">
        <f>E47+E48+E49+E50+E51</f>
        <v>131977</v>
      </c>
    </row>
    <row r="47" spans="1:5" ht="19.5" customHeight="1">
      <c r="A47" s="248" t="s">
        <v>135</v>
      </c>
      <c r="B47" s="249" t="s">
        <v>69</v>
      </c>
      <c r="C47" s="248" t="s">
        <v>462</v>
      </c>
      <c r="D47" s="257">
        <v>0.12</v>
      </c>
      <c r="E47" s="246">
        <f t="shared" si="2"/>
        <v>21695</v>
      </c>
    </row>
    <row r="48" spans="1:5" ht="19.5" customHeight="1">
      <c r="A48" s="248" t="s">
        <v>137</v>
      </c>
      <c r="B48" s="249" t="s">
        <v>123</v>
      </c>
      <c r="C48" s="248" t="s">
        <v>462</v>
      </c>
      <c r="D48" s="257">
        <v>0.25</v>
      </c>
      <c r="E48" s="246">
        <f t="shared" si="2"/>
        <v>45197</v>
      </c>
    </row>
    <row r="49" spans="1:5" ht="19.5" customHeight="1">
      <c r="A49" s="248" t="s">
        <v>138</v>
      </c>
      <c r="B49" s="249" t="s">
        <v>139</v>
      </c>
      <c r="C49" s="248" t="s">
        <v>463</v>
      </c>
      <c r="D49" s="257">
        <v>0.12</v>
      </c>
      <c r="E49" s="246">
        <f t="shared" si="2"/>
        <v>21695</v>
      </c>
    </row>
    <row r="50" spans="1:5" ht="19.5" customHeight="1">
      <c r="A50" s="248" t="s">
        <v>141</v>
      </c>
      <c r="B50" s="249" t="s">
        <v>142</v>
      </c>
      <c r="C50" s="248" t="s">
        <v>464</v>
      </c>
      <c r="D50" s="257">
        <v>0.12</v>
      </c>
      <c r="E50" s="246">
        <f t="shared" si="2"/>
        <v>21695</v>
      </c>
    </row>
    <row r="51" spans="1:5" ht="19.5" customHeight="1">
      <c r="A51" s="248" t="s">
        <v>144</v>
      </c>
      <c r="B51" s="249" t="s">
        <v>465</v>
      </c>
      <c r="C51" s="248" t="s">
        <v>464</v>
      </c>
      <c r="D51" s="257">
        <v>0.12</v>
      </c>
      <c r="E51" s="246">
        <f t="shared" si="2"/>
        <v>21695</v>
      </c>
    </row>
    <row r="52" spans="1:5" ht="19.5" customHeight="1">
      <c r="A52" s="248" t="s">
        <v>15</v>
      </c>
      <c r="B52" s="249" t="s">
        <v>146</v>
      </c>
      <c r="C52" s="248"/>
      <c r="D52" s="257"/>
      <c r="E52" s="246">
        <f>E53+E54+E55</f>
        <v>227793</v>
      </c>
    </row>
    <row r="53" spans="1:5" ht="19.5" customHeight="1">
      <c r="A53" s="248" t="s">
        <v>42</v>
      </c>
      <c r="B53" s="249" t="s">
        <v>147</v>
      </c>
      <c r="C53" s="248" t="s">
        <v>466</v>
      </c>
      <c r="D53" s="257">
        <v>0.42</v>
      </c>
      <c r="E53" s="246">
        <f t="shared" si="2"/>
        <v>75931</v>
      </c>
    </row>
    <row r="54" spans="1:5" ht="19.5" customHeight="1">
      <c r="A54" s="248" t="s">
        <v>43</v>
      </c>
      <c r="B54" s="249" t="s">
        <v>149</v>
      </c>
      <c r="C54" s="248" t="s">
        <v>466</v>
      </c>
      <c r="D54" s="257">
        <v>0.42</v>
      </c>
      <c r="E54" s="246">
        <f t="shared" si="2"/>
        <v>75931</v>
      </c>
    </row>
    <row r="55" spans="1:5" ht="19.5" customHeight="1">
      <c r="A55" s="248" t="s">
        <v>44</v>
      </c>
      <c r="B55" s="249" t="s">
        <v>150</v>
      </c>
      <c r="C55" s="248" t="s">
        <v>466</v>
      </c>
      <c r="D55" s="257">
        <v>0.42</v>
      </c>
      <c r="E55" s="246">
        <f t="shared" si="2"/>
        <v>75931</v>
      </c>
    </row>
    <row r="56" spans="1:5" ht="19.5" customHeight="1">
      <c r="A56" s="248">
        <v>3</v>
      </c>
      <c r="B56" s="249" t="s">
        <v>151</v>
      </c>
      <c r="C56" s="248" t="s">
        <v>467</v>
      </c>
      <c r="D56" s="257">
        <v>0.02</v>
      </c>
      <c r="E56" s="246">
        <f t="shared" si="2"/>
        <v>3616</v>
      </c>
    </row>
    <row r="57" spans="1:5" s="43" customFormat="1" ht="19.5" customHeight="1">
      <c r="A57" s="247" t="s">
        <v>10</v>
      </c>
      <c r="B57" s="251" t="s">
        <v>153</v>
      </c>
      <c r="C57" s="247"/>
      <c r="D57" s="258"/>
      <c r="E57" s="250">
        <f>SUM(E58:E61)</f>
        <v>92203</v>
      </c>
    </row>
    <row r="58" spans="1:5" ht="19.5" customHeight="1">
      <c r="A58" s="248">
        <v>1</v>
      </c>
      <c r="B58" s="249" t="s">
        <v>154</v>
      </c>
      <c r="C58" s="248" t="s">
        <v>466</v>
      </c>
      <c r="D58" s="257">
        <v>0.12</v>
      </c>
      <c r="E58" s="246">
        <f t="shared" si="2"/>
        <v>21695</v>
      </c>
    </row>
    <row r="59" spans="1:5" ht="19.5" customHeight="1">
      <c r="A59" s="248">
        <v>2</v>
      </c>
      <c r="B59" s="249" t="s">
        <v>155</v>
      </c>
      <c r="C59" s="248" t="s">
        <v>466</v>
      </c>
      <c r="D59" s="257">
        <v>0.25</v>
      </c>
      <c r="E59" s="246">
        <f t="shared" si="2"/>
        <v>45197</v>
      </c>
    </row>
    <row r="60" spans="1:5" ht="19.5" customHeight="1">
      <c r="A60" s="248">
        <v>3</v>
      </c>
      <c r="B60" s="249" t="s">
        <v>156</v>
      </c>
      <c r="C60" s="248" t="s">
        <v>466</v>
      </c>
      <c r="D60" s="257">
        <v>0.12</v>
      </c>
      <c r="E60" s="246">
        <f t="shared" si="2"/>
        <v>21695</v>
      </c>
    </row>
    <row r="61" spans="1:5" ht="19.5" customHeight="1">
      <c r="A61" s="248">
        <v>4</v>
      </c>
      <c r="B61" s="249" t="s">
        <v>157</v>
      </c>
      <c r="C61" s="248" t="s">
        <v>467</v>
      </c>
      <c r="D61" s="257">
        <v>0.02</v>
      </c>
      <c r="E61" s="246">
        <f t="shared" si="2"/>
        <v>3616</v>
      </c>
    </row>
  </sheetData>
  <sheetProtection/>
  <mergeCells count="3">
    <mergeCell ref="A1:G1"/>
    <mergeCell ref="A2:G2"/>
    <mergeCell ref="A33:E3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31">
      <selection activeCell="B43" sqref="B43"/>
    </sheetView>
  </sheetViews>
  <sheetFormatPr defaultColWidth="9.140625" defaultRowHeight="19.5" customHeight="1"/>
  <cols>
    <col min="2" max="2" width="46.421875" style="0" customWidth="1"/>
    <col min="3" max="3" width="14.140625" style="0" customWidth="1"/>
    <col min="4" max="4" width="14.421875" style="0" customWidth="1"/>
    <col min="5" max="5" width="13.00390625" style="0" customWidth="1"/>
    <col min="6" max="6" width="14.140625" style="0" customWidth="1"/>
    <col min="7" max="7" width="13.57421875" style="0" customWidth="1"/>
    <col min="8" max="8" width="13.28125" style="0" customWidth="1"/>
  </cols>
  <sheetData>
    <row r="1" spans="1:7" ht="19.5" customHeight="1">
      <c r="A1" s="458" t="s">
        <v>243</v>
      </c>
      <c r="B1" s="458"/>
      <c r="C1" s="458"/>
      <c r="D1" s="458"/>
      <c r="E1" s="458"/>
      <c r="F1" s="458"/>
      <c r="G1" s="458"/>
    </row>
    <row r="2" spans="1:7" ht="19.5" customHeight="1">
      <c r="A2" s="458" t="s">
        <v>457</v>
      </c>
      <c r="B2" s="458"/>
      <c r="C2" s="458"/>
      <c r="D2" s="458"/>
      <c r="E2" s="458"/>
      <c r="F2" s="458"/>
      <c r="G2" s="458"/>
    </row>
    <row r="4" spans="1:8" ht="33" customHeight="1">
      <c r="A4" s="229" t="s">
        <v>238</v>
      </c>
      <c r="B4" s="229" t="s">
        <v>191</v>
      </c>
      <c r="C4" s="229" t="s">
        <v>192</v>
      </c>
      <c r="D4" s="229" t="s">
        <v>193</v>
      </c>
      <c r="E4" s="183" t="s">
        <v>194</v>
      </c>
      <c r="F4" s="183" t="s">
        <v>252</v>
      </c>
      <c r="G4" s="240" t="s">
        <v>196</v>
      </c>
      <c r="H4" s="240" t="s">
        <v>197</v>
      </c>
    </row>
    <row r="5" spans="1:8" ht="19.5" customHeight="1">
      <c r="A5" s="222">
        <v>1</v>
      </c>
      <c r="B5" s="241" t="s">
        <v>246</v>
      </c>
      <c r="C5" s="222" t="s">
        <v>199</v>
      </c>
      <c r="D5" s="222">
        <v>9</v>
      </c>
      <c r="E5" s="187">
        <f>Dungcu_A_TN_KT_BG!$E$5</f>
        <v>150000</v>
      </c>
      <c r="F5" s="187">
        <f>E5/(D5*26)</f>
        <v>641.025641025641</v>
      </c>
      <c r="G5" s="222">
        <v>2.4</v>
      </c>
      <c r="H5" s="187">
        <f>F5*G5</f>
        <v>1538.4615384615383</v>
      </c>
    </row>
    <row r="6" spans="1:8" ht="19.5" customHeight="1">
      <c r="A6" s="177">
        <v>2</v>
      </c>
      <c r="B6" s="242" t="s">
        <v>247</v>
      </c>
      <c r="C6" s="177" t="s">
        <v>199</v>
      </c>
      <c r="D6" s="177">
        <v>60</v>
      </c>
      <c r="E6" s="155">
        <f>Dungcu_A_TN_KT_BG!$E$9</f>
        <v>1200000</v>
      </c>
      <c r="F6" s="187">
        <f aca="true" t="shared" si="0" ref="F6:F28">E6/(D6*26)</f>
        <v>769.2307692307693</v>
      </c>
      <c r="G6" s="177">
        <v>2.4</v>
      </c>
      <c r="H6" s="187">
        <f aca="true" t="shared" si="1" ref="H6:H29">F6*G6</f>
        <v>1846.1538461538462</v>
      </c>
    </row>
    <row r="7" spans="1:8" ht="19.5" customHeight="1">
      <c r="A7" s="177">
        <v>3</v>
      </c>
      <c r="B7" s="242" t="s">
        <v>200</v>
      </c>
      <c r="C7" s="177" t="s">
        <v>201</v>
      </c>
      <c r="D7" s="177">
        <v>6</v>
      </c>
      <c r="E7" s="155">
        <f>Dungcu_A_TN_KT_BG!$E$6</f>
        <v>20000</v>
      </c>
      <c r="F7" s="187">
        <f t="shared" si="0"/>
        <v>128.2051282051282</v>
      </c>
      <c r="G7" s="177">
        <v>2.4</v>
      </c>
      <c r="H7" s="187">
        <f t="shared" si="1"/>
        <v>307.6923076923077</v>
      </c>
    </row>
    <row r="8" spans="1:8" ht="19.5" customHeight="1">
      <c r="A8" s="177">
        <v>4</v>
      </c>
      <c r="B8" s="242" t="s">
        <v>202</v>
      </c>
      <c r="C8" s="177" t="s">
        <v>199</v>
      </c>
      <c r="D8" s="177">
        <v>36</v>
      </c>
      <c r="E8" s="155">
        <f>Dungcu_A_TN_KT_BG!$E$7</f>
        <v>30000</v>
      </c>
      <c r="F8" s="187">
        <f t="shared" si="0"/>
        <v>32.05128205128205</v>
      </c>
      <c r="G8" s="177">
        <v>0.01</v>
      </c>
      <c r="H8" s="187">
        <f t="shared" si="1"/>
        <v>0.32051282051282054</v>
      </c>
    </row>
    <row r="9" spans="1:8" ht="19.5" customHeight="1">
      <c r="A9" s="177">
        <v>5</v>
      </c>
      <c r="B9" s="242" t="s">
        <v>203</v>
      </c>
      <c r="C9" s="177" t="s">
        <v>199</v>
      </c>
      <c r="D9" s="177">
        <v>48</v>
      </c>
      <c r="E9" s="155">
        <f>Dungcu_A_TN_KT_BG!$E$8</f>
        <v>40000</v>
      </c>
      <c r="F9" s="187">
        <f t="shared" si="0"/>
        <v>32.05128205128205</v>
      </c>
      <c r="G9" s="177">
        <v>0.01</v>
      </c>
      <c r="H9" s="187">
        <f t="shared" si="1"/>
        <v>0.32051282051282054</v>
      </c>
    </row>
    <row r="10" spans="1:8" ht="19.5" customHeight="1">
      <c r="A10" s="177">
        <v>6</v>
      </c>
      <c r="B10" s="242" t="s">
        <v>205</v>
      </c>
      <c r="C10" s="177" t="s">
        <v>199</v>
      </c>
      <c r="D10" s="177">
        <v>48</v>
      </c>
      <c r="E10" s="155">
        <f>Dungcu_A_TN_KT_BG!$E$10</f>
        <v>2200000</v>
      </c>
      <c r="F10" s="187">
        <f t="shared" si="0"/>
        <v>1762.820512820513</v>
      </c>
      <c r="G10" s="177">
        <v>2.4</v>
      </c>
      <c r="H10" s="187">
        <f t="shared" si="1"/>
        <v>4230.7692307692305</v>
      </c>
    </row>
    <row r="11" spans="1:8" ht="19.5" customHeight="1">
      <c r="A11" s="177">
        <v>7</v>
      </c>
      <c r="B11" s="242" t="s">
        <v>206</v>
      </c>
      <c r="C11" s="177" t="s">
        <v>199</v>
      </c>
      <c r="D11" s="177">
        <v>1</v>
      </c>
      <c r="E11" s="155">
        <f>Dungcu_A_TN_KT_BG!$E$11</f>
        <v>3000</v>
      </c>
      <c r="F11" s="187">
        <f t="shared" si="0"/>
        <v>115.38461538461539</v>
      </c>
      <c r="G11" s="177">
        <v>0.03</v>
      </c>
      <c r="H11" s="187">
        <f t="shared" si="1"/>
        <v>3.4615384615384617</v>
      </c>
    </row>
    <row r="12" spans="1:8" ht="19.5" customHeight="1">
      <c r="A12" s="177">
        <v>8</v>
      </c>
      <c r="B12" s="242" t="s">
        <v>207</v>
      </c>
      <c r="C12" s="177" t="s">
        <v>199</v>
      </c>
      <c r="D12" s="177">
        <v>1</v>
      </c>
      <c r="E12" s="155">
        <f>Dungcu_A_TN_KT_BG!$E$12</f>
        <v>6000</v>
      </c>
      <c r="F12" s="187">
        <f t="shared" si="0"/>
        <v>230.76923076923077</v>
      </c>
      <c r="G12" s="177">
        <v>0.03</v>
      </c>
      <c r="H12" s="187">
        <f t="shared" si="1"/>
        <v>6.923076923076923</v>
      </c>
    </row>
    <row r="13" spans="1:8" ht="19.5" customHeight="1">
      <c r="A13" s="177">
        <v>9</v>
      </c>
      <c r="B13" s="242" t="s">
        <v>208</v>
      </c>
      <c r="C13" s="177" t="s">
        <v>199</v>
      </c>
      <c r="D13" s="177">
        <v>2</v>
      </c>
      <c r="E13" s="155">
        <f>Dungcu_A_TN_KT_BG!$E$13</f>
        <v>12000</v>
      </c>
      <c r="F13" s="187">
        <f t="shared" si="0"/>
        <v>230.76923076923077</v>
      </c>
      <c r="G13" s="177">
        <v>0.01</v>
      </c>
      <c r="H13" s="187">
        <f t="shared" si="1"/>
        <v>2.307692307692308</v>
      </c>
    </row>
    <row r="14" spans="1:8" ht="19.5" customHeight="1">
      <c r="A14" s="177">
        <v>10</v>
      </c>
      <c r="B14" s="242" t="s">
        <v>209</v>
      </c>
      <c r="C14" s="177" t="s">
        <v>199</v>
      </c>
      <c r="D14" s="177">
        <v>24</v>
      </c>
      <c r="E14" s="155">
        <f>Dungcu_A_TN_KT_BG!$E$14</f>
        <v>200000</v>
      </c>
      <c r="F14" s="187">
        <f t="shared" si="0"/>
        <v>320.5128205128205</v>
      </c>
      <c r="G14" s="177">
        <v>0.6</v>
      </c>
      <c r="H14" s="187">
        <f t="shared" si="1"/>
        <v>192.3076923076923</v>
      </c>
    </row>
    <row r="15" spans="1:8" ht="19.5" customHeight="1">
      <c r="A15" s="177">
        <v>11</v>
      </c>
      <c r="B15" s="242" t="s">
        <v>210</v>
      </c>
      <c r="C15" s="177" t="s">
        <v>199</v>
      </c>
      <c r="D15" s="177">
        <v>36</v>
      </c>
      <c r="E15" s="155">
        <f>Dungcu_A_TN_KT_BG!$E$15</f>
        <v>120000</v>
      </c>
      <c r="F15" s="187">
        <f t="shared" si="0"/>
        <v>128.2051282051282</v>
      </c>
      <c r="G15" s="177">
        <v>0.6</v>
      </c>
      <c r="H15" s="187">
        <f t="shared" si="1"/>
        <v>76.92307692307692</v>
      </c>
    </row>
    <row r="16" spans="1:8" ht="19.5" customHeight="1">
      <c r="A16" s="177">
        <v>12</v>
      </c>
      <c r="B16" s="242" t="s">
        <v>211</v>
      </c>
      <c r="C16" s="177" t="s">
        <v>199</v>
      </c>
      <c r="D16" s="177">
        <v>12</v>
      </c>
      <c r="E16" s="155">
        <f>Dungcu_A_TN_KT_BG!$E$16</f>
        <v>16000</v>
      </c>
      <c r="F16" s="187">
        <f t="shared" si="0"/>
        <v>51.282051282051285</v>
      </c>
      <c r="G16" s="177">
        <v>0.01</v>
      </c>
      <c r="H16" s="187">
        <f t="shared" si="1"/>
        <v>0.5128205128205129</v>
      </c>
    </row>
    <row r="17" spans="1:8" ht="19.5" customHeight="1">
      <c r="A17" s="177">
        <v>13</v>
      </c>
      <c r="B17" s="242" t="s">
        <v>213</v>
      </c>
      <c r="C17" s="177" t="s">
        <v>199</v>
      </c>
      <c r="D17" s="177">
        <v>60</v>
      </c>
      <c r="E17" s="155">
        <f>Dungcu_A_TN_KT_BG!$E$18</f>
        <v>3200000</v>
      </c>
      <c r="F17" s="187">
        <f t="shared" si="0"/>
        <v>2051.2820512820513</v>
      </c>
      <c r="G17" s="177">
        <v>0.6</v>
      </c>
      <c r="H17" s="187">
        <f t="shared" si="1"/>
        <v>1230.7692307692307</v>
      </c>
    </row>
    <row r="18" spans="1:8" ht="19.5" customHeight="1">
      <c r="A18" s="177">
        <v>14</v>
      </c>
      <c r="B18" s="242" t="s">
        <v>248</v>
      </c>
      <c r="C18" s="177" t="s">
        <v>199</v>
      </c>
      <c r="D18" s="177">
        <v>60</v>
      </c>
      <c r="E18" s="155">
        <f>Dungcu_A_TN_KT_BG!$E$21</f>
        <v>1200000</v>
      </c>
      <c r="F18" s="187">
        <f t="shared" si="0"/>
        <v>769.2307692307693</v>
      </c>
      <c r="G18" s="177">
        <v>2.4</v>
      </c>
      <c r="H18" s="187">
        <f t="shared" si="1"/>
        <v>1846.1538461538462</v>
      </c>
    </row>
    <row r="19" spans="1:8" ht="19.5" customHeight="1">
      <c r="A19" s="177">
        <v>15</v>
      </c>
      <c r="B19" s="242" t="s">
        <v>217</v>
      </c>
      <c r="C19" s="177" t="s">
        <v>199</v>
      </c>
      <c r="D19" s="177">
        <v>12</v>
      </c>
      <c r="E19" s="155">
        <f>Dungcu_A_TN_KT_BG!$E$22</f>
        <v>180000</v>
      </c>
      <c r="F19" s="187">
        <f t="shared" si="0"/>
        <v>576.9230769230769</v>
      </c>
      <c r="G19" s="177">
        <v>0.02</v>
      </c>
      <c r="H19" s="187">
        <f t="shared" si="1"/>
        <v>11.538461538461538</v>
      </c>
    </row>
    <row r="20" spans="1:8" ht="19.5" customHeight="1">
      <c r="A20" s="177">
        <v>16</v>
      </c>
      <c r="B20" s="242" t="s">
        <v>218</v>
      </c>
      <c r="C20" s="177" t="s">
        <v>199</v>
      </c>
      <c r="D20" s="177">
        <v>12</v>
      </c>
      <c r="E20" s="155">
        <f>Dungcu_A_TN_KT_BG!$E$23</f>
        <v>600000</v>
      </c>
      <c r="F20" s="187">
        <f t="shared" si="0"/>
        <v>1923.076923076923</v>
      </c>
      <c r="G20" s="177">
        <v>0.02</v>
      </c>
      <c r="H20" s="187">
        <f t="shared" si="1"/>
        <v>38.46153846153846</v>
      </c>
    </row>
    <row r="21" spans="1:8" ht="19.5" customHeight="1">
      <c r="A21" s="177">
        <v>17</v>
      </c>
      <c r="B21" s="242" t="s">
        <v>220</v>
      </c>
      <c r="C21" s="177" t="s">
        <v>199</v>
      </c>
      <c r="D21" s="177">
        <v>12</v>
      </c>
      <c r="E21" s="155">
        <f>Dungcu_A_TN_KT_BG!$E$25</f>
        <v>30000</v>
      </c>
      <c r="F21" s="187">
        <f t="shared" si="0"/>
        <v>96.15384615384616</v>
      </c>
      <c r="G21" s="177">
        <v>0.6</v>
      </c>
      <c r="H21" s="187">
        <f t="shared" si="1"/>
        <v>57.69230769230769</v>
      </c>
    </row>
    <row r="22" spans="1:8" ht="19.5" customHeight="1">
      <c r="A22" s="177">
        <v>18</v>
      </c>
      <c r="B22" s="242" t="s">
        <v>221</v>
      </c>
      <c r="C22" s="177" t="s">
        <v>222</v>
      </c>
      <c r="D22" s="177">
        <v>24</v>
      </c>
      <c r="E22" s="155">
        <f>Dungcu_A_TN_KT_BG!$E$26</f>
        <v>40000</v>
      </c>
      <c r="F22" s="187">
        <f t="shared" si="0"/>
        <v>64.1025641025641</v>
      </c>
      <c r="G22" s="177">
        <v>2.4</v>
      </c>
      <c r="H22" s="187">
        <f t="shared" si="1"/>
        <v>153.84615384615384</v>
      </c>
    </row>
    <row r="23" spans="1:8" ht="19.5" customHeight="1">
      <c r="A23" s="177">
        <v>19</v>
      </c>
      <c r="B23" s="242" t="s">
        <v>223</v>
      </c>
      <c r="C23" s="177" t="s">
        <v>199</v>
      </c>
      <c r="D23" s="177">
        <v>60</v>
      </c>
      <c r="E23" s="155">
        <f>Dungcu_A_TN_KT_BG!$E$27</f>
        <v>1200000</v>
      </c>
      <c r="F23" s="187">
        <f t="shared" si="0"/>
        <v>769.2307692307693</v>
      </c>
      <c r="G23" s="177">
        <v>0.15</v>
      </c>
      <c r="H23" s="187">
        <f t="shared" si="1"/>
        <v>115.38461538461539</v>
      </c>
    </row>
    <row r="24" spans="1:8" ht="19.5" customHeight="1">
      <c r="A24" s="177">
        <v>20</v>
      </c>
      <c r="B24" s="242" t="s">
        <v>249</v>
      </c>
      <c r="C24" s="177" t="s">
        <v>199</v>
      </c>
      <c r="D24" s="177">
        <v>60</v>
      </c>
      <c r="E24" s="155">
        <f>Dungcu_A_TN_KT_BG!$E$28</f>
        <v>1500000</v>
      </c>
      <c r="F24" s="187">
        <f t="shared" si="0"/>
        <v>961.5384615384615</v>
      </c>
      <c r="G24" s="177">
        <v>0.02</v>
      </c>
      <c r="H24" s="187">
        <f t="shared" si="1"/>
        <v>19.23076923076923</v>
      </c>
    </row>
    <row r="25" spans="1:8" ht="19.5" customHeight="1">
      <c r="A25" s="177">
        <v>21</v>
      </c>
      <c r="B25" s="242" t="s">
        <v>225</v>
      </c>
      <c r="C25" s="177" t="s">
        <v>199</v>
      </c>
      <c r="D25" s="177">
        <v>36</v>
      </c>
      <c r="E25" s="155">
        <f>Dungcu_A_TN_KT_BG!$E$29</f>
        <v>300000</v>
      </c>
      <c r="F25" s="187">
        <f t="shared" si="0"/>
        <v>320.5128205128205</v>
      </c>
      <c r="G25" s="177">
        <v>0.05</v>
      </c>
      <c r="H25" s="187">
        <f t="shared" si="1"/>
        <v>16.025641025641026</v>
      </c>
    </row>
    <row r="26" spans="1:8" ht="19.5" customHeight="1">
      <c r="A26" s="177">
        <v>22</v>
      </c>
      <c r="B26" s="242" t="s">
        <v>250</v>
      </c>
      <c r="C26" s="177" t="s">
        <v>199</v>
      </c>
      <c r="D26" s="177">
        <v>60</v>
      </c>
      <c r="E26" s="155">
        <f>Dungcu_A_TN_KT_BG!$E$30</f>
        <v>3000000</v>
      </c>
      <c r="F26" s="187">
        <f t="shared" si="0"/>
        <v>1923.076923076923</v>
      </c>
      <c r="G26" s="177">
        <v>0.6</v>
      </c>
      <c r="H26" s="187">
        <f t="shared" si="1"/>
        <v>1153.8461538461538</v>
      </c>
    </row>
    <row r="27" spans="1:8" ht="19.5" customHeight="1">
      <c r="A27" s="177">
        <v>23</v>
      </c>
      <c r="B27" s="242" t="s">
        <v>227</v>
      </c>
      <c r="C27" s="177" t="s">
        <v>199</v>
      </c>
      <c r="D27" s="177">
        <v>36</v>
      </c>
      <c r="E27" s="155">
        <f>Dungcu_A_TN_KT_BG!$E$31</f>
        <v>300000</v>
      </c>
      <c r="F27" s="187">
        <f t="shared" si="0"/>
        <v>320.5128205128205</v>
      </c>
      <c r="G27" s="177">
        <v>0.4</v>
      </c>
      <c r="H27" s="187">
        <f t="shared" si="1"/>
        <v>128.2051282051282</v>
      </c>
    </row>
    <row r="28" spans="1:8" ht="19.5" customHeight="1">
      <c r="A28" s="177">
        <v>24</v>
      </c>
      <c r="B28" s="242" t="s">
        <v>228</v>
      </c>
      <c r="C28" s="177" t="s">
        <v>199</v>
      </c>
      <c r="D28" s="177">
        <v>36</v>
      </c>
      <c r="E28" s="155">
        <f>Dungcu_A_TN_KT_BG!$E$32</f>
        <v>550000</v>
      </c>
      <c r="F28" s="187">
        <f t="shared" si="0"/>
        <v>587.6068376068376</v>
      </c>
      <c r="G28" s="177">
        <v>0.4</v>
      </c>
      <c r="H28" s="187">
        <f t="shared" si="1"/>
        <v>235.04273504273507</v>
      </c>
    </row>
    <row r="29" spans="1:8" ht="19.5" customHeight="1">
      <c r="A29" s="179">
        <v>25</v>
      </c>
      <c r="B29" s="243" t="s">
        <v>229</v>
      </c>
      <c r="C29" s="179" t="s">
        <v>230</v>
      </c>
      <c r="D29" s="179"/>
      <c r="E29" s="167">
        <f>Dungcu_A_TN_KT_BG!$E$33</f>
        <v>2200</v>
      </c>
      <c r="F29" s="187">
        <f>E29</f>
        <v>2200</v>
      </c>
      <c r="G29" s="179">
        <v>4.05</v>
      </c>
      <c r="H29" s="187">
        <f t="shared" si="1"/>
        <v>8910</v>
      </c>
    </row>
    <row r="30" spans="1:8" ht="19.5" customHeight="1">
      <c r="A30" s="52"/>
      <c r="B30" s="52" t="s">
        <v>251</v>
      </c>
      <c r="C30" s="52"/>
      <c r="D30" s="52"/>
      <c r="E30" s="52"/>
      <c r="F30" s="52"/>
      <c r="G30" s="52"/>
      <c r="H30" s="53">
        <f>SUM(H5:H28)*1.05+H29</f>
        <v>22782.96794871795</v>
      </c>
    </row>
    <row r="32" spans="1:5" ht="19.5" customHeight="1">
      <c r="A32" s="450" t="s">
        <v>557</v>
      </c>
      <c r="B32" s="450"/>
      <c r="C32" s="450"/>
      <c r="D32" s="450"/>
      <c r="E32" s="450"/>
    </row>
    <row r="34" spans="1:5" ht="35.25" customHeight="1">
      <c r="A34" s="229" t="s">
        <v>238</v>
      </c>
      <c r="B34" s="137" t="s">
        <v>239</v>
      </c>
      <c r="C34" s="137" t="s">
        <v>192</v>
      </c>
      <c r="D34" s="137" t="s">
        <v>240</v>
      </c>
      <c r="E34" s="230" t="s">
        <v>197</v>
      </c>
    </row>
    <row r="35" spans="1:5" ht="27" customHeight="1">
      <c r="A35" s="231">
        <v>4</v>
      </c>
      <c r="B35" s="232" t="s">
        <v>103</v>
      </c>
      <c r="C35" s="233"/>
      <c r="D35" s="233"/>
      <c r="E35" s="225">
        <f>SUM(E36:E43)</f>
        <v>48529</v>
      </c>
    </row>
    <row r="36" spans="1:5" ht="23.25" customHeight="1">
      <c r="A36" s="234" t="s">
        <v>104</v>
      </c>
      <c r="B36" s="235" t="s">
        <v>83</v>
      </c>
      <c r="C36" s="236" t="s">
        <v>231</v>
      </c>
      <c r="D36" s="236">
        <v>0.13</v>
      </c>
      <c r="E36" s="227">
        <f>ROUND($H$30*D36,0)</f>
        <v>2962</v>
      </c>
    </row>
    <row r="37" spans="1:5" ht="27.75" customHeight="1">
      <c r="A37" s="234" t="s">
        <v>105</v>
      </c>
      <c r="B37" s="235" t="s">
        <v>85</v>
      </c>
      <c r="C37" s="236" t="s">
        <v>231</v>
      </c>
      <c r="D37" s="236">
        <v>0.1</v>
      </c>
      <c r="E37" s="227">
        <f aca="true" t="shared" si="2" ref="E37:E43">ROUND($H$30*D37,0)</f>
        <v>2278</v>
      </c>
    </row>
    <row r="38" spans="1:5" ht="19.5" customHeight="1">
      <c r="A38" s="234" t="s">
        <v>106</v>
      </c>
      <c r="B38" s="235" t="s">
        <v>86</v>
      </c>
      <c r="C38" s="236" t="s">
        <v>232</v>
      </c>
      <c r="D38" s="236">
        <v>0.1</v>
      </c>
      <c r="E38" s="227">
        <f t="shared" si="2"/>
        <v>2278</v>
      </c>
    </row>
    <row r="39" spans="1:5" ht="19.5" customHeight="1">
      <c r="A39" s="234" t="s">
        <v>107</v>
      </c>
      <c r="B39" s="235" t="s">
        <v>102</v>
      </c>
      <c r="C39" s="236" t="s">
        <v>233</v>
      </c>
      <c r="D39" s="236">
        <v>0.2</v>
      </c>
      <c r="E39" s="227">
        <f t="shared" si="2"/>
        <v>4557</v>
      </c>
    </row>
    <row r="40" spans="1:5" ht="19.5" customHeight="1">
      <c r="A40" s="234" t="s">
        <v>108</v>
      </c>
      <c r="B40" s="235" t="s">
        <v>90</v>
      </c>
      <c r="C40" s="236" t="s">
        <v>234</v>
      </c>
      <c r="D40" s="236">
        <v>0.2</v>
      </c>
      <c r="E40" s="227">
        <f t="shared" si="2"/>
        <v>4557</v>
      </c>
    </row>
    <row r="41" spans="1:5" ht="19.5" customHeight="1">
      <c r="A41" s="234" t="s">
        <v>109</v>
      </c>
      <c r="B41" s="235" t="s">
        <v>92</v>
      </c>
      <c r="C41" s="236" t="s">
        <v>235</v>
      </c>
      <c r="D41" s="236">
        <v>1</v>
      </c>
      <c r="E41" s="227">
        <f t="shared" si="2"/>
        <v>22783</v>
      </c>
    </row>
    <row r="42" spans="1:5" ht="19.5" customHeight="1">
      <c r="A42" s="234" t="s">
        <v>110</v>
      </c>
      <c r="B42" s="235" t="s">
        <v>93</v>
      </c>
      <c r="C42" s="236" t="s">
        <v>236</v>
      </c>
      <c r="D42" s="236">
        <v>0.2</v>
      </c>
      <c r="E42" s="227">
        <f t="shared" si="2"/>
        <v>4557</v>
      </c>
    </row>
    <row r="43" spans="1:5" ht="19.5" customHeight="1">
      <c r="A43" s="237" t="s">
        <v>111</v>
      </c>
      <c r="B43" s="238" t="s">
        <v>96</v>
      </c>
      <c r="C43" s="239" t="s">
        <v>236</v>
      </c>
      <c r="D43" s="239">
        <v>0.2</v>
      </c>
      <c r="E43" s="228">
        <f t="shared" si="2"/>
        <v>4557</v>
      </c>
    </row>
  </sheetData>
  <sheetProtection/>
  <mergeCells count="3">
    <mergeCell ref="A1:G1"/>
    <mergeCell ref="A2:G2"/>
    <mergeCell ref="A32:E3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7">
      <selection activeCell="A34" sqref="A34:G34"/>
    </sheetView>
  </sheetViews>
  <sheetFormatPr defaultColWidth="9.140625" defaultRowHeight="12.75"/>
  <cols>
    <col min="1" max="1" width="9.140625" style="136" customWidth="1"/>
    <col min="2" max="2" width="48.00390625" style="136" customWidth="1"/>
    <col min="3" max="3" width="19.421875" style="136" customWidth="1"/>
    <col min="4" max="4" width="12.57421875" style="136" customWidth="1"/>
    <col min="5" max="5" width="14.8515625" style="135" customWidth="1"/>
    <col min="6" max="6" width="9.140625" style="135" customWidth="1"/>
    <col min="7" max="16384" width="9.140625" style="136" customWidth="1"/>
  </cols>
  <sheetData>
    <row r="1" spans="1:8" ht="12.75">
      <c r="A1" s="458" t="s">
        <v>243</v>
      </c>
      <c r="B1" s="458"/>
      <c r="C1" s="458"/>
      <c r="D1" s="458"/>
      <c r="E1" s="458"/>
      <c r="F1" s="458"/>
      <c r="G1" s="458"/>
      <c r="H1" s="458"/>
    </row>
    <row r="2" spans="1:8" ht="12.75">
      <c r="A2" s="458" t="s">
        <v>244</v>
      </c>
      <c r="B2" s="458"/>
      <c r="C2" s="458"/>
      <c r="D2" s="458"/>
      <c r="E2" s="458"/>
      <c r="F2" s="458"/>
      <c r="G2" s="458"/>
      <c r="H2" s="458"/>
    </row>
    <row r="4" spans="1:8" ht="25.5">
      <c r="A4" s="240" t="s">
        <v>2</v>
      </c>
      <c r="B4" s="240" t="s">
        <v>191</v>
      </c>
      <c r="C4" s="240" t="s">
        <v>192</v>
      </c>
      <c r="D4" s="240" t="s">
        <v>193</v>
      </c>
      <c r="E4" s="183" t="s">
        <v>194</v>
      </c>
      <c r="F4" s="183" t="s">
        <v>195</v>
      </c>
      <c r="G4" s="240" t="s">
        <v>196</v>
      </c>
      <c r="H4" s="240" t="s">
        <v>197</v>
      </c>
    </row>
    <row r="5" spans="1:8" s="138" customFormat="1" ht="19.5" customHeight="1">
      <c r="A5" s="96">
        <v>1</v>
      </c>
      <c r="B5" s="320" t="s">
        <v>198</v>
      </c>
      <c r="C5" s="96" t="s">
        <v>199</v>
      </c>
      <c r="D5" s="96">
        <v>9</v>
      </c>
      <c r="E5" s="187">
        <v>150000</v>
      </c>
      <c r="F5" s="187">
        <f>E5/(D5*26)</f>
        <v>641.025641025641</v>
      </c>
      <c r="G5" s="96">
        <v>2.4</v>
      </c>
      <c r="H5" s="187">
        <f>F5*G5</f>
        <v>1538.4615384615383</v>
      </c>
    </row>
    <row r="6" spans="1:8" s="138" customFormat="1" ht="19.5" customHeight="1">
      <c r="A6" s="56">
        <v>2</v>
      </c>
      <c r="B6" s="59" t="s">
        <v>200</v>
      </c>
      <c r="C6" s="56" t="s">
        <v>201</v>
      </c>
      <c r="D6" s="56">
        <v>6</v>
      </c>
      <c r="E6" s="155">
        <v>20000</v>
      </c>
      <c r="F6" s="155">
        <f aca="true" t="shared" si="0" ref="F6:F32">E6/(D6*26)</f>
        <v>128.2051282051282</v>
      </c>
      <c r="G6" s="56">
        <v>2.4</v>
      </c>
      <c r="H6" s="155">
        <f aca="true" t="shared" si="1" ref="H6:H33">F6*G6</f>
        <v>307.6923076923077</v>
      </c>
    </row>
    <row r="7" spans="1:8" s="138" customFormat="1" ht="19.5" customHeight="1">
      <c r="A7" s="56">
        <v>3</v>
      </c>
      <c r="B7" s="59" t="s">
        <v>202</v>
      </c>
      <c r="C7" s="56" t="s">
        <v>199</v>
      </c>
      <c r="D7" s="56">
        <v>36</v>
      </c>
      <c r="E7" s="155">
        <v>30000</v>
      </c>
      <c r="F7" s="155">
        <f t="shared" si="0"/>
        <v>32.05128205128205</v>
      </c>
      <c r="G7" s="56">
        <v>0.01</v>
      </c>
      <c r="H7" s="155">
        <f t="shared" si="1"/>
        <v>0.32051282051282054</v>
      </c>
    </row>
    <row r="8" spans="1:8" s="138" customFormat="1" ht="19.5" customHeight="1">
      <c r="A8" s="56">
        <v>4</v>
      </c>
      <c r="B8" s="59" t="s">
        <v>203</v>
      </c>
      <c r="C8" s="56" t="s">
        <v>199</v>
      </c>
      <c r="D8" s="56">
        <v>48</v>
      </c>
      <c r="E8" s="191">
        <v>40000</v>
      </c>
      <c r="F8" s="155">
        <f t="shared" si="0"/>
        <v>32.05128205128205</v>
      </c>
      <c r="G8" s="56">
        <v>0.01</v>
      </c>
      <c r="H8" s="155">
        <f t="shared" si="1"/>
        <v>0.32051282051282054</v>
      </c>
    </row>
    <row r="9" spans="1:8" s="138" customFormat="1" ht="19.5" customHeight="1">
      <c r="A9" s="56">
        <v>5</v>
      </c>
      <c r="B9" s="59" t="s">
        <v>204</v>
      </c>
      <c r="C9" s="56" t="s">
        <v>199</v>
      </c>
      <c r="D9" s="56">
        <v>60</v>
      </c>
      <c r="E9" s="191">
        <v>1200000</v>
      </c>
      <c r="F9" s="155">
        <f t="shared" si="0"/>
        <v>769.2307692307693</v>
      </c>
      <c r="G9" s="56">
        <v>2.4</v>
      </c>
      <c r="H9" s="155">
        <f t="shared" si="1"/>
        <v>1846.1538461538462</v>
      </c>
    </row>
    <row r="10" spans="1:8" s="138" customFormat="1" ht="19.5" customHeight="1">
      <c r="A10" s="56">
        <v>6</v>
      </c>
      <c r="B10" s="59" t="s">
        <v>205</v>
      </c>
      <c r="C10" s="56" t="s">
        <v>199</v>
      </c>
      <c r="D10" s="56">
        <v>48</v>
      </c>
      <c r="E10" s="191">
        <v>2200000</v>
      </c>
      <c r="F10" s="155">
        <f t="shared" si="0"/>
        <v>1762.820512820513</v>
      </c>
      <c r="G10" s="56">
        <v>2.4</v>
      </c>
      <c r="H10" s="155">
        <f t="shared" si="1"/>
        <v>4230.7692307692305</v>
      </c>
    </row>
    <row r="11" spans="1:8" s="138" customFormat="1" ht="19.5" customHeight="1">
      <c r="A11" s="56">
        <v>7</v>
      </c>
      <c r="B11" s="59" t="s">
        <v>206</v>
      </c>
      <c r="C11" s="56" t="s">
        <v>199</v>
      </c>
      <c r="D11" s="56">
        <v>1</v>
      </c>
      <c r="E11" s="191">
        <v>3000</v>
      </c>
      <c r="F11" s="155">
        <f t="shared" si="0"/>
        <v>115.38461538461539</v>
      </c>
      <c r="G11" s="56">
        <v>0.03</v>
      </c>
      <c r="H11" s="155">
        <f t="shared" si="1"/>
        <v>3.4615384615384617</v>
      </c>
    </row>
    <row r="12" spans="1:8" s="138" customFormat="1" ht="19.5" customHeight="1">
      <c r="A12" s="56">
        <v>8</v>
      </c>
      <c r="B12" s="59" t="s">
        <v>207</v>
      </c>
      <c r="C12" s="56" t="s">
        <v>199</v>
      </c>
      <c r="D12" s="56">
        <v>1</v>
      </c>
      <c r="E12" s="191">
        <v>6000</v>
      </c>
      <c r="F12" s="155">
        <f t="shared" si="0"/>
        <v>230.76923076923077</v>
      </c>
      <c r="G12" s="56">
        <v>0.03</v>
      </c>
      <c r="H12" s="155">
        <f t="shared" si="1"/>
        <v>6.923076923076923</v>
      </c>
    </row>
    <row r="13" spans="1:8" s="138" customFormat="1" ht="19.5" customHeight="1">
      <c r="A13" s="56">
        <v>9</v>
      </c>
      <c r="B13" s="59" t="s">
        <v>208</v>
      </c>
      <c r="C13" s="56" t="s">
        <v>199</v>
      </c>
      <c r="D13" s="56">
        <v>2</v>
      </c>
      <c r="E13" s="191">
        <v>12000</v>
      </c>
      <c r="F13" s="155">
        <f t="shared" si="0"/>
        <v>230.76923076923077</v>
      </c>
      <c r="G13" s="56">
        <v>0.01</v>
      </c>
      <c r="H13" s="155">
        <f t="shared" si="1"/>
        <v>2.307692307692308</v>
      </c>
    </row>
    <row r="14" spans="1:8" s="138" customFormat="1" ht="19.5" customHeight="1">
      <c r="A14" s="56">
        <v>10</v>
      </c>
      <c r="B14" s="59" t="s">
        <v>209</v>
      </c>
      <c r="C14" s="56" t="s">
        <v>199</v>
      </c>
      <c r="D14" s="56">
        <v>24</v>
      </c>
      <c r="E14" s="191">
        <v>200000</v>
      </c>
      <c r="F14" s="155">
        <f t="shared" si="0"/>
        <v>320.5128205128205</v>
      </c>
      <c r="G14" s="56">
        <v>2.4</v>
      </c>
      <c r="H14" s="155">
        <f t="shared" si="1"/>
        <v>769.2307692307692</v>
      </c>
    </row>
    <row r="15" spans="1:8" s="138" customFormat="1" ht="19.5" customHeight="1">
      <c r="A15" s="56">
        <v>11</v>
      </c>
      <c r="B15" s="59" t="s">
        <v>210</v>
      </c>
      <c r="C15" s="56" t="s">
        <v>199</v>
      </c>
      <c r="D15" s="56">
        <v>36</v>
      </c>
      <c r="E15" s="191">
        <v>120000</v>
      </c>
      <c r="F15" s="155">
        <f t="shared" si="0"/>
        <v>128.2051282051282</v>
      </c>
      <c r="G15" s="56">
        <v>0.6</v>
      </c>
      <c r="H15" s="155">
        <f t="shared" si="1"/>
        <v>76.92307692307692</v>
      </c>
    </row>
    <row r="16" spans="1:8" s="138" customFormat="1" ht="19.5" customHeight="1">
      <c r="A16" s="56">
        <v>12</v>
      </c>
      <c r="B16" s="59" t="s">
        <v>211</v>
      </c>
      <c r="C16" s="56" t="s">
        <v>199</v>
      </c>
      <c r="D16" s="56">
        <v>12</v>
      </c>
      <c r="E16" s="155">
        <v>16000</v>
      </c>
      <c r="F16" s="155">
        <f t="shared" si="0"/>
        <v>51.282051282051285</v>
      </c>
      <c r="G16" s="56">
        <v>0.1</v>
      </c>
      <c r="H16" s="155">
        <f t="shared" si="1"/>
        <v>5.128205128205129</v>
      </c>
    </row>
    <row r="17" spans="1:8" s="138" customFormat="1" ht="19.5" customHeight="1">
      <c r="A17" s="56">
        <v>13</v>
      </c>
      <c r="B17" s="59" t="s">
        <v>212</v>
      </c>
      <c r="C17" s="56" t="s">
        <v>199</v>
      </c>
      <c r="D17" s="56">
        <v>60</v>
      </c>
      <c r="E17" s="155">
        <v>4200000</v>
      </c>
      <c r="F17" s="155">
        <f t="shared" si="0"/>
        <v>2692.3076923076924</v>
      </c>
      <c r="G17" s="56">
        <v>0.6</v>
      </c>
      <c r="H17" s="155">
        <f t="shared" si="1"/>
        <v>1615.3846153846155</v>
      </c>
    </row>
    <row r="18" spans="1:8" s="138" customFormat="1" ht="19.5" customHeight="1">
      <c r="A18" s="56">
        <v>14</v>
      </c>
      <c r="B18" s="59" t="s">
        <v>213</v>
      </c>
      <c r="C18" s="56" t="s">
        <v>199</v>
      </c>
      <c r="D18" s="56">
        <v>60</v>
      </c>
      <c r="E18" s="155">
        <v>3200000</v>
      </c>
      <c r="F18" s="155">
        <f t="shared" si="0"/>
        <v>2051.2820512820513</v>
      </c>
      <c r="G18" s="56">
        <v>0.6</v>
      </c>
      <c r="H18" s="155">
        <f t="shared" si="1"/>
        <v>1230.7692307692307</v>
      </c>
    </row>
    <row r="19" spans="1:8" s="138" customFormat="1" ht="19.5" customHeight="1">
      <c r="A19" s="56">
        <v>15</v>
      </c>
      <c r="B19" s="59" t="s">
        <v>214</v>
      </c>
      <c r="C19" s="56" t="s">
        <v>199</v>
      </c>
      <c r="D19" s="56">
        <v>24</v>
      </c>
      <c r="E19" s="155">
        <v>40000</v>
      </c>
      <c r="F19" s="155">
        <f t="shared" si="0"/>
        <v>64.1025641025641</v>
      </c>
      <c r="G19" s="56">
        <v>0.01</v>
      </c>
      <c r="H19" s="155">
        <f t="shared" si="1"/>
        <v>0.6410256410256411</v>
      </c>
    </row>
    <row r="20" spans="1:8" s="138" customFormat="1" ht="19.5" customHeight="1">
      <c r="A20" s="56">
        <v>16</v>
      </c>
      <c r="B20" s="59" t="s">
        <v>215</v>
      </c>
      <c r="C20" s="56" t="s">
        <v>199</v>
      </c>
      <c r="D20" s="56">
        <v>12</v>
      </c>
      <c r="E20" s="155">
        <v>325000</v>
      </c>
      <c r="F20" s="155">
        <f t="shared" si="0"/>
        <v>1041.6666666666667</v>
      </c>
      <c r="G20" s="56">
        <v>6</v>
      </c>
      <c r="H20" s="155">
        <f t="shared" si="1"/>
        <v>6250</v>
      </c>
    </row>
    <row r="21" spans="1:8" s="138" customFormat="1" ht="19.5" customHeight="1">
      <c r="A21" s="56">
        <v>17</v>
      </c>
      <c r="B21" s="59" t="s">
        <v>216</v>
      </c>
      <c r="C21" s="56" t="s">
        <v>199</v>
      </c>
      <c r="D21" s="56">
        <v>60</v>
      </c>
      <c r="E21" s="155">
        <v>1200000</v>
      </c>
      <c r="F21" s="155">
        <f t="shared" si="0"/>
        <v>769.2307692307693</v>
      </c>
      <c r="G21" s="56">
        <v>18</v>
      </c>
      <c r="H21" s="155">
        <f t="shared" si="1"/>
        <v>13846.153846153848</v>
      </c>
    </row>
    <row r="22" spans="1:8" s="138" customFormat="1" ht="19.5" customHeight="1">
      <c r="A22" s="56">
        <v>18</v>
      </c>
      <c r="B22" s="59" t="s">
        <v>217</v>
      </c>
      <c r="C22" s="56" t="s">
        <v>199</v>
      </c>
      <c r="D22" s="56">
        <v>12</v>
      </c>
      <c r="E22" s="155">
        <v>180000</v>
      </c>
      <c r="F22" s="155">
        <f t="shared" si="0"/>
        <v>576.9230769230769</v>
      </c>
      <c r="G22" s="56">
        <v>18</v>
      </c>
      <c r="H22" s="155">
        <f t="shared" si="1"/>
        <v>10384.615384615385</v>
      </c>
    </row>
    <row r="23" spans="1:8" s="138" customFormat="1" ht="19.5" customHeight="1">
      <c r="A23" s="56">
        <v>19</v>
      </c>
      <c r="B23" s="59" t="s">
        <v>218</v>
      </c>
      <c r="C23" s="56" t="s">
        <v>199</v>
      </c>
      <c r="D23" s="56">
        <v>12</v>
      </c>
      <c r="E23" s="155">
        <v>600000</v>
      </c>
      <c r="F23" s="155">
        <f t="shared" si="0"/>
        <v>1923.076923076923</v>
      </c>
      <c r="G23" s="56">
        <v>18</v>
      </c>
      <c r="H23" s="155">
        <f t="shared" si="1"/>
        <v>34615.38461538462</v>
      </c>
    </row>
    <row r="24" spans="1:8" s="138" customFormat="1" ht="19.5" customHeight="1">
      <c r="A24" s="56">
        <v>20</v>
      </c>
      <c r="B24" s="59" t="s">
        <v>219</v>
      </c>
      <c r="C24" s="56" t="s">
        <v>199</v>
      </c>
      <c r="D24" s="56">
        <v>12</v>
      </c>
      <c r="E24" s="49">
        <v>40000</v>
      </c>
      <c r="F24" s="155">
        <f t="shared" si="0"/>
        <v>128.2051282051282</v>
      </c>
      <c r="G24" s="56">
        <v>0.6</v>
      </c>
      <c r="H24" s="155">
        <f t="shared" si="1"/>
        <v>76.92307692307692</v>
      </c>
    </row>
    <row r="25" spans="1:8" s="138" customFormat="1" ht="19.5" customHeight="1">
      <c r="A25" s="56">
        <v>21</v>
      </c>
      <c r="B25" s="59" t="s">
        <v>220</v>
      </c>
      <c r="C25" s="56" t="s">
        <v>199</v>
      </c>
      <c r="D25" s="56">
        <v>12</v>
      </c>
      <c r="E25" s="49">
        <v>30000</v>
      </c>
      <c r="F25" s="155">
        <f t="shared" si="0"/>
        <v>96.15384615384616</v>
      </c>
      <c r="G25" s="56">
        <v>0.6</v>
      </c>
      <c r="H25" s="155">
        <f t="shared" si="1"/>
        <v>57.69230769230769</v>
      </c>
    </row>
    <row r="26" spans="1:8" s="138" customFormat="1" ht="19.5" customHeight="1">
      <c r="A26" s="56">
        <v>22</v>
      </c>
      <c r="B26" s="59" t="s">
        <v>221</v>
      </c>
      <c r="C26" s="56" t="s">
        <v>222</v>
      </c>
      <c r="D26" s="56">
        <v>30</v>
      </c>
      <c r="E26" s="155">
        <v>40000</v>
      </c>
      <c r="F26" s="155">
        <f t="shared" si="0"/>
        <v>51.282051282051285</v>
      </c>
      <c r="G26" s="56">
        <v>2.4</v>
      </c>
      <c r="H26" s="155">
        <f t="shared" si="1"/>
        <v>123.07692307692308</v>
      </c>
    </row>
    <row r="27" spans="1:8" s="138" customFormat="1" ht="19.5" customHeight="1">
      <c r="A27" s="56">
        <v>23</v>
      </c>
      <c r="B27" s="59" t="s">
        <v>223</v>
      </c>
      <c r="C27" s="56" t="s">
        <v>199</v>
      </c>
      <c r="D27" s="56">
        <v>60</v>
      </c>
      <c r="E27" s="155">
        <v>1200000</v>
      </c>
      <c r="F27" s="155">
        <f t="shared" si="0"/>
        <v>769.2307692307693</v>
      </c>
      <c r="G27" s="56">
        <v>0.15</v>
      </c>
      <c r="H27" s="155">
        <f t="shared" si="1"/>
        <v>115.38461538461539</v>
      </c>
    </row>
    <row r="28" spans="1:8" s="138" customFormat="1" ht="19.5" customHeight="1">
      <c r="A28" s="56">
        <v>24</v>
      </c>
      <c r="B28" s="59" t="s">
        <v>224</v>
      </c>
      <c r="C28" s="56" t="s">
        <v>199</v>
      </c>
      <c r="D28" s="56">
        <v>60</v>
      </c>
      <c r="E28" s="155">
        <v>1500000</v>
      </c>
      <c r="F28" s="155">
        <f t="shared" si="0"/>
        <v>961.5384615384615</v>
      </c>
      <c r="G28" s="56">
        <v>0.02</v>
      </c>
      <c r="H28" s="155">
        <f t="shared" si="1"/>
        <v>19.23076923076923</v>
      </c>
    </row>
    <row r="29" spans="1:8" s="138" customFormat="1" ht="19.5" customHeight="1">
      <c r="A29" s="56">
        <v>25</v>
      </c>
      <c r="B29" s="59" t="s">
        <v>225</v>
      </c>
      <c r="C29" s="56" t="s">
        <v>199</v>
      </c>
      <c r="D29" s="56">
        <v>36</v>
      </c>
      <c r="E29" s="155">
        <v>300000</v>
      </c>
      <c r="F29" s="155">
        <f t="shared" si="0"/>
        <v>320.5128205128205</v>
      </c>
      <c r="G29" s="56">
        <v>0.03</v>
      </c>
      <c r="H29" s="155">
        <f t="shared" si="1"/>
        <v>9.615384615384615</v>
      </c>
    </row>
    <row r="30" spans="1:8" s="138" customFormat="1" ht="19.5" customHeight="1">
      <c r="A30" s="56">
        <v>26</v>
      </c>
      <c r="B30" s="59" t="s">
        <v>226</v>
      </c>
      <c r="C30" s="56" t="s">
        <v>199</v>
      </c>
      <c r="D30" s="56">
        <v>60</v>
      </c>
      <c r="E30" s="155">
        <v>3000000</v>
      </c>
      <c r="F30" s="155">
        <f t="shared" si="0"/>
        <v>1923.076923076923</v>
      </c>
      <c r="G30" s="56">
        <v>0.06</v>
      </c>
      <c r="H30" s="155">
        <f t="shared" si="1"/>
        <v>115.38461538461539</v>
      </c>
    </row>
    <row r="31" spans="1:8" s="138" customFormat="1" ht="19.5" customHeight="1">
      <c r="A31" s="56">
        <v>37</v>
      </c>
      <c r="B31" s="59" t="s">
        <v>227</v>
      </c>
      <c r="C31" s="56" t="s">
        <v>199</v>
      </c>
      <c r="D31" s="56">
        <v>36</v>
      </c>
      <c r="E31" s="155">
        <v>300000</v>
      </c>
      <c r="F31" s="155">
        <f t="shared" si="0"/>
        <v>320.5128205128205</v>
      </c>
      <c r="G31" s="56">
        <v>0.4</v>
      </c>
      <c r="H31" s="155">
        <f t="shared" si="1"/>
        <v>128.2051282051282</v>
      </c>
    </row>
    <row r="32" spans="1:8" s="138" customFormat="1" ht="19.5" customHeight="1">
      <c r="A32" s="56">
        <v>38</v>
      </c>
      <c r="B32" s="59" t="s">
        <v>228</v>
      </c>
      <c r="C32" s="56" t="s">
        <v>199</v>
      </c>
      <c r="D32" s="56">
        <v>36</v>
      </c>
      <c r="E32" s="155">
        <v>550000</v>
      </c>
      <c r="F32" s="155">
        <f t="shared" si="0"/>
        <v>587.6068376068376</v>
      </c>
      <c r="G32" s="56">
        <v>0.4</v>
      </c>
      <c r="H32" s="155">
        <f t="shared" si="1"/>
        <v>235.04273504273507</v>
      </c>
    </row>
    <row r="33" spans="1:8" s="138" customFormat="1" ht="19.5" customHeight="1">
      <c r="A33" s="101">
        <v>39</v>
      </c>
      <c r="B33" s="102" t="s">
        <v>229</v>
      </c>
      <c r="C33" s="101" t="s">
        <v>230</v>
      </c>
      <c r="D33" s="101"/>
      <c r="E33" s="167">
        <v>2200</v>
      </c>
      <c r="F33" s="167">
        <f>E33</f>
        <v>2200</v>
      </c>
      <c r="G33" s="101">
        <v>4.03</v>
      </c>
      <c r="H33" s="167">
        <f t="shared" si="1"/>
        <v>8866</v>
      </c>
    </row>
    <row r="34" spans="1:8" s="138" customFormat="1" ht="19.5" customHeight="1">
      <c r="A34" s="459" t="s">
        <v>241</v>
      </c>
      <c r="B34" s="460"/>
      <c r="C34" s="460"/>
      <c r="D34" s="460"/>
      <c r="E34" s="460"/>
      <c r="F34" s="460"/>
      <c r="G34" s="461"/>
      <c r="H34" s="360">
        <f>SUM(H5:H32)*1.05+H33</f>
        <v>90357.7564102564</v>
      </c>
    </row>
    <row r="35" spans="1:8" s="138" customFormat="1" ht="19.5" customHeight="1">
      <c r="A35" s="50"/>
      <c r="B35" s="50"/>
      <c r="C35" s="50"/>
      <c r="D35" s="50"/>
      <c r="E35" s="50"/>
      <c r="F35" s="50"/>
      <c r="G35" s="50"/>
      <c r="H35" s="433"/>
    </row>
    <row r="36" spans="1:5" ht="19.5" customHeight="1">
      <c r="A36" s="462" t="s">
        <v>242</v>
      </c>
      <c r="B36" s="462"/>
      <c r="C36" s="462"/>
      <c r="D36" s="462"/>
      <c r="E36" s="462"/>
    </row>
    <row r="37" spans="1:5" ht="19.5" customHeight="1">
      <c r="A37" s="319"/>
      <c r="B37" s="319"/>
      <c r="C37" s="319"/>
      <c r="D37" s="319"/>
      <c r="E37" s="319"/>
    </row>
    <row r="38" spans="1:5" ht="12.75">
      <c r="A38" s="137" t="s">
        <v>238</v>
      </c>
      <c r="B38" s="229" t="s">
        <v>239</v>
      </c>
      <c r="C38" s="137" t="s">
        <v>192</v>
      </c>
      <c r="D38" s="137" t="s">
        <v>240</v>
      </c>
      <c r="E38" s="53" t="s">
        <v>197</v>
      </c>
    </row>
    <row r="39" spans="1:6" s="43" customFormat="1" ht="12.75">
      <c r="A39" s="434">
        <v>1</v>
      </c>
      <c r="B39" s="435" t="s">
        <v>82</v>
      </c>
      <c r="C39" s="434"/>
      <c r="D39" s="434"/>
      <c r="E39" s="44">
        <f>SUM(E40:E47)</f>
        <v>207825</v>
      </c>
      <c r="F39" s="42"/>
    </row>
    <row r="40" spans="1:5" ht="12.75">
      <c r="A40" s="151" t="s">
        <v>11</v>
      </c>
      <c r="B40" s="152" t="s">
        <v>83</v>
      </c>
      <c r="C40" s="151" t="s">
        <v>231</v>
      </c>
      <c r="D40" s="151">
        <v>0.1</v>
      </c>
      <c r="E40" s="155">
        <f aca="true" t="shared" si="2" ref="E40:E47">ROUND($H$34*D40,0)</f>
        <v>9036</v>
      </c>
    </row>
    <row r="41" spans="1:5" ht="25.5">
      <c r="A41" s="151" t="s">
        <v>12</v>
      </c>
      <c r="B41" s="152" t="s">
        <v>85</v>
      </c>
      <c r="C41" s="151" t="s">
        <v>231</v>
      </c>
      <c r="D41" s="151">
        <v>0.1</v>
      </c>
      <c r="E41" s="155">
        <f t="shared" si="2"/>
        <v>9036</v>
      </c>
    </row>
    <row r="42" spans="1:5" ht="12.75">
      <c r="A42" s="151" t="s">
        <v>21</v>
      </c>
      <c r="B42" s="152" t="s">
        <v>86</v>
      </c>
      <c r="C42" s="151" t="s">
        <v>232</v>
      </c>
      <c r="D42" s="151">
        <v>0.1</v>
      </c>
      <c r="E42" s="155">
        <f t="shared" si="2"/>
        <v>9036</v>
      </c>
    </row>
    <row r="43" spans="1:5" ht="12.75">
      <c r="A43" s="151" t="s">
        <v>23</v>
      </c>
      <c r="B43" s="152" t="s">
        <v>88</v>
      </c>
      <c r="C43" s="151" t="s">
        <v>233</v>
      </c>
      <c r="D43" s="151">
        <v>0.2</v>
      </c>
      <c r="E43" s="155">
        <f t="shared" si="2"/>
        <v>18072</v>
      </c>
    </row>
    <row r="44" spans="1:5" ht="12.75">
      <c r="A44" s="151" t="s">
        <v>24</v>
      </c>
      <c r="B44" s="152" t="s">
        <v>90</v>
      </c>
      <c r="C44" s="151" t="s">
        <v>234</v>
      </c>
      <c r="D44" s="151">
        <v>0.5</v>
      </c>
      <c r="E44" s="155">
        <f t="shared" si="2"/>
        <v>45179</v>
      </c>
    </row>
    <row r="45" spans="1:5" ht="12.75">
      <c r="A45" s="151" t="s">
        <v>38</v>
      </c>
      <c r="B45" s="152" t="s">
        <v>92</v>
      </c>
      <c r="C45" s="151" t="s">
        <v>235</v>
      </c>
      <c r="D45" s="151">
        <v>1</v>
      </c>
      <c r="E45" s="155">
        <f t="shared" si="2"/>
        <v>90358</v>
      </c>
    </row>
    <row r="46" spans="1:5" ht="12.75">
      <c r="A46" s="151" t="s">
        <v>39</v>
      </c>
      <c r="B46" s="152" t="s">
        <v>93</v>
      </c>
      <c r="C46" s="151" t="s">
        <v>236</v>
      </c>
      <c r="D46" s="151">
        <v>0.2</v>
      </c>
      <c r="E46" s="155">
        <f t="shared" si="2"/>
        <v>18072</v>
      </c>
    </row>
    <row r="47" spans="1:5" ht="12.75">
      <c r="A47" s="151" t="s">
        <v>95</v>
      </c>
      <c r="B47" s="152" t="s">
        <v>96</v>
      </c>
      <c r="C47" s="151" t="s">
        <v>236</v>
      </c>
      <c r="D47" s="151">
        <v>0.1</v>
      </c>
      <c r="E47" s="155">
        <f t="shared" si="2"/>
        <v>9036</v>
      </c>
    </row>
    <row r="48" spans="1:6" s="43" customFormat="1" ht="12.75">
      <c r="A48" s="436">
        <v>2</v>
      </c>
      <c r="B48" s="437" t="s">
        <v>97</v>
      </c>
      <c r="C48" s="436"/>
      <c r="D48" s="436"/>
      <c r="E48" s="46">
        <f>SUM(E49:E56)</f>
        <v>508715</v>
      </c>
      <c r="F48" s="42"/>
    </row>
    <row r="49" spans="1:5" ht="12.75">
      <c r="A49" s="151" t="s">
        <v>13</v>
      </c>
      <c r="B49" s="152" t="s">
        <v>83</v>
      </c>
      <c r="C49" s="151" t="s">
        <v>231</v>
      </c>
      <c r="D49" s="151">
        <v>0.8</v>
      </c>
      <c r="E49" s="155">
        <f aca="true" t="shared" si="3" ref="E49:E56">ROUND($H$34*D49,0)</f>
        <v>72286</v>
      </c>
    </row>
    <row r="50" spans="1:5" ht="25.5">
      <c r="A50" s="151" t="s">
        <v>14</v>
      </c>
      <c r="B50" s="152" t="s">
        <v>85</v>
      </c>
      <c r="C50" s="151" t="s">
        <v>231</v>
      </c>
      <c r="D50" s="151">
        <v>0.05</v>
      </c>
      <c r="E50" s="155">
        <f t="shared" si="3"/>
        <v>4518</v>
      </c>
    </row>
    <row r="51" spans="1:5" ht="12.75">
      <c r="A51" s="151" t="s">
        <v>15</v>
      </c>
      <c r="B51" s="152" t="s">
        <v>86</v>
      </c>
      <c r="C51" s="151" t="s">
        <v>232</v>
      </c>
      <c r="D51" s="151">
        <v>1</v>
      </c>
      <c r="E51" s="155">
        <f t="shared" si="3"/>
        <v>90358</v>
      </c>
    </row>
    <row r="52" spans="1:5" ht="12.75">
      <c r="A52" s="151" t="s">
        <v>25</v>
      </c>
      <c r="B52" s="152" t="s">
        <v>88</v>
      </c>
      <c r="C52" s="151" t="s">
        <v>233</v>
      </c>
      <c r="D52" s="151">
        <v>1</v>
      </c>
      <c r="E52" s="155">
        <f t="shared" si="3"/>
        <v>90358</v>
      </c>
    </row>
    <row r="53" spans="1:5" ht="12.75">
      <c r="A53" s="151" t="s">
        <v>47</v>
      </c>
      <c r="B53" s="152" t="s">
        <v>90</v>
      </c>
      <c r="C53" s="151" t="s">
        <v>234</v>
      </c>
      <c r="D53" s="151">
        <v>1.25</v>
      </c>
      <c r="E53" s="155">
        <f t="shared" si="3"/>
        <v>112947</v>
      </c>
    </row>
    <row r="54" spans="1:5" ht="12.75">
      <c r="A54" s="151" t="s">
        <v>53</v>
      </c>
      <c r="B54" s="152" t="s">
        <v>92</v>
      </c>
      <c r="C54" s="151" t="s">
        <v>235</v>
      </c>
      <c r="D54" s="151">
        <v>1</v>
      </c>
      <c r="E54" s="155">
        <f t="shared" si="3"/>
        <v>90358</v>
      </c>
    </row>
    <row r="55" spans="1:5" ht="12.75">
      <c r="A55" s="151" t="s">
        <v>54</v>
      </c>
      <c r="B55" s="152" t="s">
        <v>93</v>
      </c>
      <c r="C55" s="151" t="s">
        <v>236</v>
      </c>
      <c r="D55" s="151">
        <v>0.2</v>
      </c>
      <c r="E55" s="155">
        <f t="shared" si="3"/>
        <v>18072</v>
      </c>
    </row>
    <row r="56" spans="1:5" ht="12.75">
      <c r="A56" s="151" t="s">
        <v>99</v>
      </c>
      <c r="B56" s="152" t="s">
        <v>96</v>
      </c>
      <c r="C56" s="151" t="s">
        <v>236</v>
      </c>
      <c r="D56" s="151">
        <v>0.33</v>
      </c>
      <c r="E56" s="155">
        <f t="shared" si="3"/>
        <v>29818</v>
      </c>
    </row>
    <row r="57" spans="1:6" s="43" customFormat="1" ht="12.75">
      <c r="A57" s="436">
        <v>3</v>
      </c>
      <c r="B57" s="437" t="s">
        <v>237</v>
      </c>
      <c r="C57" s="436"/>
      <c r="D57" s="436"/>
      <c r="E57" s="46">
        <f>SUM(E58:E65)</f>
        <v>272881</v>
      </c>
      <c r="F57" s="42"/>
    </row>
    <row r="58" spans="1:5" ht="12.75">
      <c r="A58" s="151" t="s">
        <v>19</v>
      </c>
      <c r="B58" s="152" t="s">
        <v>83</v>
      </c>
      <c r="C58" s="151" t="s">
        <v>231</v>
      </c>
      <c r="D58" s="151">
        <v>0.17</v>
      </c>
      <c r="E58" s="155">
        <f aca="true" t="shared" si="4" ref="E58:E65">ROUND($H$34*D58,0)</f>
        <v>15361</v>
      </c>
    </row>
    <row r="59" spans="1:5" ht="25.5">
      <c r="A59" s="151" t="s">
        <v>20</v>
      </c>
      <c r="B59" s="152" t="s">
        <v>85</v>
      </c>
      <c r="C59" s="151" t="s">
        <v>231</v>
      </c>
      <c r="D59" s="151">
        <v>0.17</v>
      </c>
      <c r="E59" s="155">
        <f t="shared" si="4"/>
        <v>15361</v>
      </c>
    </row>
    <row r="60" spans="1:5" ht="12.75">
      <c r="A60" s="151" t="s">
        <v>101</v>
      </c>
      <c r="B60" s="152" t="s">
        <v>86</v>
      </c>
      <c r="C60" s="151" t="s">
        <v>232</v>
      </c>
      <c r="D60" s="151">
        <v>0.17</v>
      </c>
      <c r="E60" s="155">
        <f t="shared" si="4"/>
        <v>15361</v>
      </c>
    </row>
    <row r="61" spans="1:5" ht="12.75">
      <c r="A61" s="151" t="s">
        <v>74</v>
      </c>
      <c r="B61" s="152" t="s">
        <v>102</v>
      </c>
      <c r="C61" s="151" t="s">
        <v>233</v>
      </c>
      <c r="D61" s="151">
        <v>0.17</v>
      </c>
      <c r="E61" s="155">
        <f t="shared" si="4"/>
        <v>15361</v>
      </c>
    </row>
    <row r="62" spans="1:5" ht="12.75">
      <c r="A62" s="151" t="s">
        <v>75</v>
      </c>
      <c r="B62" s="152" t="s">
        <v>90</v>
      </c>
      <c r="C62" s="151" t="s">
        <v>234</v>
      </c>
      <c r="D62" s="151">
        <v>0.17</v>
      </c>
      <c r="E62" s="155">
        <f t="shared" si="4"/>
        <v>15361</v>
      </c>
    </row>
    <row r="63" spans="1:5" ht="12.75">
      <c r="A63" s="151" t="s">
        <v>78</v>
      </c>
      <c r="B63" s="152" t="s">
        <v>92</v>
      </c>
      <c r="C63" s="151" t="s">
        <v>235</v>
      </c>
      <c r="D63" s="151">
        <v>1.67</v>
      </c>
      <c r="E63" s="155">
        <f t="shared" si="4"/>
        <v>150897</v>
      </c>
    </row>
    <row r="64" spans="1:5" ht="12.75">
      <c r="A64" s="151" t="s">
        <v>77</v>
      </c>
      <c r="B64" s="152" t="s">
        <v>93</v>
      </c>
      <c r="C64" s="151" t="s">
        <v>236</v>
      </c>
      <c r="D64" s="151">
        <v>0.17</v>
      </c>
      <c r="E64" s="155">
        <f t="shared" si="4"/>
        <v>15361</v>
      </c>
    </row>
    <row r="65" spans="1:5" ht="12.75">
      <c r="A65" s="163" t="s">
        <v>76</v>
      </c>
      <c r="B65" s="164" t="s">
        <v>96</v>
      </c>
      <c r="C65" s="163" t="s">
        <v>236</v>
      </c>
      <c r="D65" s="163">
        <v>0.33</v>
      </c>
      <c r="E65" s="167">
        <f t="shared" si="4"/>
        <v>29818</v>
      </c>
    </row>
    <row r="68" spans="1:5" ht="17.25" customHeight="1">
      <c r="A68" s="450" t="s">
        <v>557</v>
      </c>
      <c r="B68" s="450"/>
      <c r="C68" s="450"/>
      <c r="D68" s="450"/>
      <c r="E68" s="390"/>
    </row>
    <row r="69" spans="1:4" ht="12.75">
      <c r="A69" s="456" t="s">
        <v>2</v>
      </c>
      <c r="B69" s="456" t="s">
        <v>453</v>
      </c>
      <c r="C69" s="463" t="s">
        <v>240</v>
      </c>
      <c r="D69" s="463" t="s">
        <v>197</v>
      </c>
    </row>
    <row r="70" spans="1:4" ht="12.75">
      <c r="A70" s="456"/>
      <c r="B70" s="456"/>
      <c r="C70" s="463"/>
      <c r="D70" s="463"/>
    </row>
    <row r="71" spans="1:4" ht="19.5" customHeight="1">
      <c r="A71" s="203">
        <v>1</v>
      </c>
      <c r="B71" s="204" t="s">
        <v>82</v>
      </c>
      <c r="C71" s="222">
        <v>1</v>
      </c>
      <c r="D71" s="187">
        <f>E39</f>
        <v>207825</v>
      </c>
    </row>
    <row r="72" spans="1:4" ht="19.5" customHeight="1">
      <c r="A72" s="208" t="s">
        <v>11</v>
      </c>
      <c r="B72" s="209" t="s">
        <v>421</v>
      </c>
      <c r="C72" s="177">
        <v>0.3</v>
      </c>
      <c r="D72" s="178">
        <f>C72*D71</f>
        <v>62347.5</v>
      </c>
    </row>
    <row r="73" spans="1:4" ht="19.5" customHeight="1">
      <c r="A73" s="208" t="s">
        <v>12</v>
      </c>
      <c r="B73" s="209" t="s">
        <v>422</v>
      </c>
      <c r="C73" s="177">
        <v>0.7</v>
      </c>
      <c r="D73" s="178">
        <f>C73*D71</f>
        <v>145477.5</v>
      </c>
    </row>
    <row r="74" spans="1:4" ht="19.5" customHeight="1">
      <c r="A74" s="208">
        <v>2</v>
      </c>
      <c r="B74" s="213" t="s">
        <v>97</v>
      </c>
      <c r="C74" s="177">
        <v>1</v>
      </c>
      <c r="D74" s="155">
        <f>E48</f>
        <v>508715</v>
      </c>
    </row>
    <row r="75" spans="1:4" ht="19.5" customHeight="1">
      <c r="A75" s="208" t="s">
        <v>13</v>
      </c>
      <c r="B75" s="209" t="s">
        <v>68</v>
      </c>
      <c r="C75" s="177">
        <v>0.2</v>
      </c>
      <c r="D75" s="178">
        <f>C75*D74</f>
        <v>101743</v>
      </c>
    </row>
    <row r="76" spans="1:4" ht="19.5" customHeight="1">
      <c r="A76" s="208" t="s">
        <v>14</v>
      </c>
      <c r="B76" s="209" t="s">
        <v>97</v>
      </c>
      <c r="C76" s="177">
        <v>0.7</v>
      </c>
      <c r="D76" s="178">
        <f>C76*D75</f>
        <v>71220.09999999999</v>
      </c>
    </row>
    <row r="77" spans="1:4" ht="19.5" customHeight="1">
      <c r="A77" s="208" t="s">
        <v>15</v>
      </c>
      <c r="B77" s="209" t="s">
        <v>423</v>
      </c>
      <c r="C77" s="177">
        <v>0.1</v>
      </c>
      <c r="D77" s="178">
        <f>C77*D74</f>
        <v>50871.5</v>
      </c>
    </row>
    <row r="78" spans="1:4" ht="19.5" customHeight="1">
      <c r="A78" s="216">
        <v>3</v>
      </c>
      <c r="B78" s="217" t="s">
        <v>100</v>
      </c>
      <c r="C78" s="179">
        <v>1</v>
      </c>
      <c r="D78" s="167">
        <f>E57</f>
        <v>272881</v>
      </c>
    </row>
  </sheetData>
  <sheetProtection/>
  <mergeCells count="9">
    <mergeCell ref="A34:G34"/>
    <mergeCell ref="A36:E36"/>
    <mergeCell ref="A1:H1"/>
    <mergeCell ref="A2:H2"/>
    <mergeCell ref="A69:A70"/>
    <mergeCell ref="B69:B70"/>
    <mergeCell ref="C69:C70"/>
    <mergeCell ref="D69:D70"/>
    <mergeCell ref="A68:D6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0"/>
  <sheetViews>
    <sheetView zoomScale="85" zoomScaleNormal="85" zoomScalePageLayoutView="0" workbookViewId="0" topLeftCell="A1">
      <pane xSplit="2" ySplit="5" topLeftCell="C175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D183" sqref="D183"/>
    </sheetView>
  </sheetViews>
  <sheetFormatPr defaultColWidth="11.28125" defaultRowHeight="19.5" customHeight="1"/>
  <cols>
    <col min="1" max="1" width="7.57421875" style="62" customWidth="1"/>
    <col min="2" max="2" width="43.28125" style="61" customWidth="1"/>
    <col min="3" max="4" width="10.00390625" style="62" customWidth="1"/>
    <col min="5" max="5" width="10.8515625" style="62" customWidth="1"/>
    <col min="6" max="6" width="10.57421875" style="62" customWidth="1"/>
    <col min="7" max="7" width="10.00390625" style="62" customWidth="1"/>
    <col min="8" max="8" width="10.57421875" style="61" customWidth="1"/>
    <col min="9" max="9" width="21.8515625" style="61" customWidth="1"/>
    <col min="10" max="16384" width="11.28125" style="61" customWidth="1"/>
  </cols>
  <sheetData>
    <row r="1" spans="1:9" ht="19.5" customHeight="1">
      <c r="A1" s="446" t="s">
        <v>79</v>
      </c>
      <c r="B1" s="446"/>
      <c r="C1" s="446"/>
      <c r="D1" s="446"/>
      <c r="E1" s="446"/>
      <c r="F1" s="446"/>
      <c r="G1" s="446"/>
      <c r="H1" s="446"/>
      <c r="I1" s="446"/>
    </row>
    <row r="2" spans="1:9" ht="19.5" customHeight="1">
      <c r="A2" s="446" t="s">
        <v>80</v>
      </c>
      <c r="B2" s="446"/>
      <c r="C2" s="446"/>
      <c r="D2" s="446"/>
      <c r="E2" s="446"/>
      <c r="F2" s="446"/>
      <c r="G2" s="446"/>
      <c r="H2" s="446"/>
      <c r="I2" s="446"/>
    </row>
    <row r="3" ht="19.5" customHeight="1">
      <c r="I3" s="442">
        <v>1490000</v>
      </c>
    </row>
    <row r="4" spans="1:9" ht="19.5" customHeight="1">
      <c r="A4" s="64" t="s">
        <v>2</v>
      </c>
      <c r="B4" s="64" t="s">
        <v>3</v>
      </c>
      <c r="C4" s="64" t="s">
        <v>187</v>
      </c>
      <c r="D4" s="64" t="s">
        <v>1</v>
      </c>
      <c r="E4" s="64" t="s">
        <v>188</v>
      </c>
      <c r="F4" s="64" t="s">
        <v>4</v>
      </c>
      <c r="G4" s="64" t="s">
        <v>50</v>
      </c>
      <c r="H4" s="64" t="s">
        <v>5</v>
      </c>
      <c r="I4" s="416" t="s">
        <v>6</v>
      </c>
    </row>
    <row r="5" spans="1:10" ht="19.5" customHeight="1">
      <c r="A5" s="85"/>
      <c r="B5" s="89" t="s">
        <v>240</v>
      </c>
      <c r="C5" s="89">
        <v>1.86</v>
      </c>
      <c r="D5" s="89">
        <v>2.46</v>
      </c>
      <c r="E5" s="89">
        <v>2.34</v>
      </c>
      <c r="F5" s="89">
        <v>2.67</v>
      </c>
      <c r="G5" s="89">
        <v>3.33</v>
      </c>
      <c r="H5" s="89" t="s">
        <v>7</v>
      </c>
      <c r="I5" s="417"/>
      <c r="J5" s="61">
        <f>C5+0.6</f>
        <v>2.46</v>
      </c>
    </row>
    <row r="6" spans="1:9" ht="49.5" customHeight="1">
      <c r="A6" s="89" t="s">
        <v>118</v>
      </c>
      <c r="B6" s="418" t="s">
        <v>81</v>
      </c>
      <c r="C6" s="418"/>
      <c r="D6" s="76"/>
      <c r="E6" s="76"/>
      <c r="F6" s="76"/>
      <c r="G6" s="76"/>
      <c r="H6" s="87"/>
      <c r="I6" s="77"/>
    </row>
    <row r="7" spans="1:9" s="71" customFormat="1" ht="24.75" customHeight="1">
      <c r="A7" s="65">
        <v>1</v>
      </c>
      <c r="B7" s="66" t="s">
        <v>82</v>
      </c>
      <c r="C7" s="67"/>
      <c r="D7" s="68"/>
      <c r="E7" s="68"/>
      <c r="F7" s="68"/>
      <c r="G7" s="68"/>
      <c r="H7" s="69"/>
      <c r="I7" s="70"/>
    </row>
    <row r="8" spans="1:9" s="71" customFormat="1" ht="48" customHeight="1">
      <c r="A8" s="72" t="s">
        <v>11</v>
      </c>
      <c r="B8" s="73" t="s">
        <v>83</v>
      </c>
      <c r="C8" s="72"/>
      <c r="D8" s="68">
        <v>1</v>
      </c>
      <c r="E8" s="68">
        <v>1</v>
      </c>
      <c r="F8" s="68">
        <v>1</v>
      </c>
      <c r="G8" s="68"/>
      <c r="H8" s="69"/>
      <c r="I8" s="70"/>
    </row>
    <row r="9" spans="1:9" s="71" customFormat="1" ht="36" customHeight="1">
      <c r="A9" s="72"/>
      <c r="B9" s="73"/>
      <c r="C9" s="72"/>
      <c r="D9" s="443">
        <f>D8*$D$5*$I$3</f>
        <v>3665400</v>
      </c>
      <c r="E9" s="68">
        <f>E8*$E$5*$I$3</f>
        <v>3486600</v>
      </c>
      <c r="F9" s="68">
        <f>F8*$F$5*$I$3</f>
        <v>3978300</v>
      </c>
      <c r="G9" s="68"/>
      <c r="H9" s="69">
        <f>SUM(C9:G9)/26</f>
        <v>428088.46153846156</v>
      </c>
      <c r="I9" s="74" t="s">
        <v>113</v>
      </c>
    </row>
    <row r="10" spans="1:9" s="71" customFormat="1" ht="24.75" customHeight="1">
      <c r="A10" s="72"/>
      <c r="B10" s="73"/>
      <c r="C10" s="72"/>
      <c r="D10" s="68"/>
      <c r="E10" s="68"/>
      <c r="F10" s="68"/>
      <c r="G10" s="68"/>
      <c r="H10" s="69">
        <f aca="true" t="shared" si="0" ref="H10:H73">SUM(C10:G10)/26</f>
        <v>0</v>
      </c>
      <c r="I10" s="70"/>
    </row>
    <row r="11" spans="1:9" ht="40.5" customHeight="1">
      <c r="A11" s="74" t="s">
        <v>12</v>
      </c>
      <c r="B11" s="75" t="s">
        <v>85</v>
      </c>
      <c r="C11" s="74"/>
      <c r="D11" s="68">
        <v>1</v>
      </c>
      <c r="E11" s="68">
        <v>1</v>
      </c>
      <c r="F11" s="68">
        <v>1</v>
      </c>
      <c r="G11" s="76"/>
      <c r="H11" s="69">
        <f t="shared" si="0"/>
        <v>0.11538461538461539</v>
      </c>
      <c r="I11" s="74" t="s">
        <v>113</v>
      </c>
    </row>
    <row r="12" spans="1:9" ht="24.75" customHeight="1">
      <c r="A12" s="74"/>
      <c r="B12" s="75"/>
      <c r="C12" s="74"/>
      <c r="D12" s="443">
        <f>D11*$D$5*$I$3</f>
        <v>3665400</v>
      </c>
      <c r="E12" s="68">
        <f>E11*$E$5*$I$3</f>
        <v>3486600</v>
      </c>
      <c r="F12" s="68">
        <f>F11*$F$5*$I$3</f>
        <v>3978300</v>
      </c>
      <c r="G12" s="76"/>
      <c r="H12" s="69">
        <f t="shared" si="0"/>
        <v>428088.46153846156</v>
      </c>
      <c r="I12" s="77"/>
    </row>
    <row r="13" spans="1:9" ht="24.75" customHeight="1">
      <c r="A13" s="74"/>
      <c r="B13" s="75"/>
      <c r="C13" s="74"/>
      <c r="D13" s="78"/>
      <c r="E13" s="78"/>
      <c r="F13" s="78"/>
      <c r="G13" s="76"/>
      <c r="H13" s="69">
        <f t="shared" si="0"/>
        <v>0</v>
      </c>
      <c r="I13" s="77"/>
    </row>
    <row r="14" spans="1:9" ht="30.75" customHeight="1">
      <c r="A14" s="74" t="s">
        <v>21</v>
      </c>
      <c r="B14" s="75" t="s">
        <v>86</v>
      </c>
      <c r="C14" s="74"/>
      <c r="D14" s="68">
        <v>1</v>
      </c>
      <c r="E14" s="68">
        <v>1</v>
      </c>
      <c r="F14" s="68">
        <v>1</v>
      </c>
      <c r="G14" s="76"/>
      <c r="H14" s="69">
        <f t="shared" si="0"/>
        <v>0.11538461538461539</v>
      </c>
      <c r="I14" s="74" t="s">
        <v>113</v>
      </c>
    </row>
    <row r="15" spans="1:9" ht="24.75" customHeight="1">
      <c r="A15" s="74"/>
      <c r="B15" s="75"/>
      <c r="C15" s="74"/>
      <c r="D15" s="443">
        <f>D14*$D$5*$I$3</f>
        <v>3665400</v>
      </c>
      <c r="E15" s="68">
        <f>E14*$E$5*$I$3</f>
        <v>3486600</v>
      </c>
      <c r="F15" s="68">
        <f>F14*$F$5*$I$3</f>
        <v>3978300</v>
      </c>
      <c r="G15" s="76"/>
      <c r="H15" s="69">
        <f t="shared" si="0"/>
        <v>428088.46153846156</v>
      </c>
      <c r="I15" s="79"/>
    </row>
    <row r="16" spans="1:9" ht="24.75" customHeight="1">
      <c r="A16" s="74"/>
      <c r="B16" s="75"/>
      <c r="C16" s="74"/>
      <c r="D16" s="78"/>
      <c r="E16" s="78"/>
      <c r="F16" s="78"/>
      <c r="G16" s="76"/>
      <c r="H16" s="69">
        <f t="shared" si="0"/>
        <v>0</v>
      </c>
      <c r="I16" s="79"/>
    </row>
    <row r="17" spans="1:9" ht="38.25" customHeight="1">
      <c r="A17" s="74" t="s">
        <v>23</v>
      </c>
      <c r="B17" s="75" t="s">
        <v>88</v>
      </c>
      <c r="C17" s="74"/>
      <c r="D17" s="68">
        <v>1</v>
      </c>
      <c r="E17" s="68">
        <v>1</v>
      </c>
      <c r="F17" s="68">
        <v>1</v>
      </c>
      <c r="G17" s="76"/>
      <c r="H17" s="69">
        <f t="shared" si="0"/>
        <v>0.11538461538461539</v>
      </c>
      <c r="I17" s="74" t="s">
        <v>113</v>
      </c>
    </row>
    <row r="18" spans="1:9" ht="24.75" customHeight="1">
      <c r="A18" s="74"/>
      <c r="B18" s="75"/>
      <c r="C18" s="74"/>
      <c r="D18" s="443">
        <f>D17*$D$5*$I$3</f>
        <v>3665400</v>
      </c>
      <c r="E18" s="68">
        <f>E17*$E$5*$I$3</f>
        <v>3486600</v>
      </c>
      <c r="F18" s="68">
        <f>F17*$F$5*$I$3</f>
        <v>3978300</v>
      </c>
      <c r="G18" s="76"/>
      <c r="H18" s="69">
        <f t="shared" si="0"/>
        <v>428088.46153846156</v>
      </c>
      <c r="I18" s="80"/>
    </row>
    <row r="19" spans="1:9" ht="24.75" customHeight="1">
      <c r="A19" s="74"/>
      <c r="B19" s="75"/>
      <c r="C19" s="74"/>
      <c r="D19" s="76"/>
      <c r="E19" s="76"/>
      <c r="F19" s="76"/>
      <c r="G19" s="76"/>
      <c r="H19" s="69">
        <f t="shared" si="0"/>
        <v>0</v>
      </c>
      <c r="I19" s="80"/>
    </row>
    <row r="20" spans="1:9" ht="24.75" customHeight="1">
      <c r="A20" s="74" t="s">
        <v>24</v>
      </c>
      <c r="B20" s="75" t="s">
        <v>90</v>
      </c>
      <c r="C20" s="74"/>
      <c r="D20" s="68">
        <v>1</v>
      </c>
      <c r="E20" s="68">
        <v>1</v>
      </c>
      <c r="F20" s="68">
        <v>1</v>
      </c>
      <c r="G20" s="76"/>
      <c r="H20" s="69">
        <f t="shared" si="0"/>
        <v>0.11538461538461539</v>
      </c>
      <c r="I20" s="81"/>
    </row>
    <row r="21" spans="1:9" ht="24.75" customHeight="1">
      <c r="A21" s="74"/>
      <c r="B21" s="75"/>
      <c r="C21" s="74"/>
      <c r="D21" s="443">
        <f>D20*$D$5*$I$3</f>
        <v>3665400</v>
      </c>
      <c r="E21" s="68">
        <f>E20*$E$5*$I$3</f>
        <v>3486600</v>
      </c>
      <c r="F21" s="68">
        <f>F20*$F$5*$I$3</f>
        <v>3978300</v>
      </c>
      <c r="G21" s="76"/>
      <c r="H21" s="69">
        <f t="shared" si="0"/>
        <v>428088.46153846156</v>
      </c>
      <c r="I21" s="81"/>
    </row>
    <row r="22" spans="1:9" ht="24.75" customHeight="1">
      <c r="A22" s="74"/>
      <c r="B22" s="75"/>
      <c r="C22" s="74"/>
      <c r="D22" s="76"/>
      <c r="E22" s="76"/>
      <c r="F22" s="76"/>
      <c r="G22" s="76"/>
      <c r="H22" s="69">
        <f t="shared" si="0"/>
        <v>0</v>
      </c>
      <c r="I22" s="81"/>
    </row>
    <row r="23" spans="1:9" ht="39.75" customHeight="1">
      <c r="A23" s="74" t="s">
        <v>38</v>
      </c>
      <c r="B23" s="75" t="s">
        <v>92</v>
      </c>
      <c r="C23" s="74"/>
      <c r="D23" s="68">
        <v>1</v>
      </c>
      <c r="E23" s="68">
        <v>1</v>
      </c>
      <c r="F23" s="68">
        <v>1</v>
      </c>
      <c r="G23" s="76"/>
      <c r="H23" s="69">
        <f t="shared" si="0"/>
        <v>0.11538461538461539</v>
      </c>
      <c r="I23" s="74" t="s">
        <v>113</v>
      </c>
    </row>
    <row r="24" spans="1:9" ht="24.75" customHeight="1">
      <c r="A24" s="74"/>
      <c r="B24" s="75"/>
      <c r="C24" s="74"/>
      <c r="D24" s="443">
        <f>D23*$D$5*$I$3</f>
        <v>3665400</v>
      </c>
      <c r="E24" s="68">
        <f>E23*$E$5*$I$3</f>
        <v>3486600</v>
      </c>
      <c r="F24" s="68">
        <f>F23*$F$5*$I$3</f>
        <v>3978300</v>
      </c>
      <c r="G24" s="76"/>
      <c r="H24" s="69">
        <f t="shared" si="0"/>
        <v>428088.46153846156</v>
      </c>
      <c r="I24" s="81"/>
    </row>
    <row r="25" spans="1:9" ht="24.75" customHeight="1">
      <c r="A25" s="74"/>
      <c r="B25" s="75"/>
      <c r="C25" s="74"/>
      <c r="D25" s="76"/>
      <c r="E25" s="76"/>
      <c r="F25" s="76"/>
      <c r="G25" s="76"/>
      <c r="H25" s="69">
        <f t="shared" si="0"/>
        <v>0</v>
      </c>
      <c r="I25" s="81"/>
    </row>
    <row r="26" spans="1:9" ht="29.25" customHeight="1">
      <c r="A26" s="74" t="s">
        <v>39</v>
      </c>
      <c r="B26" s="75" t="s">
        <v>93</v>
      </c>
      <c r="C26" s="74"/>
      <c r="D26" s="68">
        <v>1</v>
      </c>
      <c r="E26" s="68">
        <v>1</v>
      </c>
      <c r="F26" s="68">
        <v>1</v>
      </c>
      <c r="G26" s="76"/>
      <c r="H26" s="69">
        <f t="shared" si="0"/>
        <v>0.11538461538461539</v>
      </c>
      <c r="I26" s="74" t="s">
        <v>113</v>
      </c>
    </row>
    <row r="27" spans="1:9" ht="24.75" customHeight="1">
      <c r="A27" s="74"/>
      <c r="B27" s="75"/>
      <c r="C27" s="74"/>
      <c r="D27" s="443">
        <f>D26*$D$5*$I$3</f>
        <v>3665400</v>
      </c>
      <c r="E27" s="68">
        <f>E26*$E$5*$I$3</f>
        <v>3486600</v>
      </c>
      <c r="F27" s="68">
        <f>F26*$F$5*$I$3</f>
        <v>3978300</v>
      </c>
      <c r="G27" s="76"/>
      <c r="H27" s="69">
        <f t="shared" si="0"/>
        <v>428088.46153846156</v>
      </c>
      <c r="I27" s="77"/>
    </row>
    <row r="28" spans="1:9" ht="24.75" customHeight="1">
      <c r="A28" s="74"/>
      <c r="B28" s="75"/>
      <c r="C28" s="74"/>
      <c r="D28" s="76"/>
      <c r="E28" s="76"/>
      <c r="F28" s="76"/>
      <c r="G28" s="76"/>
      <c r="H28" s="69">
        <f t="shared" si="0"/>
        <v>0</v>
      </c>
      <c r="I28" s="77"/>
    </row>
    <row r="29" spans="1:9" ht="30.75" customHeight="1">
      <c r="A29" s="74" t="s">
        <v>95</v>
      </c>
      <c r="B29" s="75" t="s">
        <v>96</v>
      </c>
      <c r="C29" s="74"/>
      <c r="D29" s="68">
        <v>1</v>
      </c>
      <c r="E29" s="68">
        <v>1</v>
      </c>
      <c r="F29" s="68">
        <v>1</v>
      </c>
      <c r="G29" s="76"/>
      <c r="H29" s="69">
        <f t="shared" si="0"/>
        <v>0.11538461538461539</v>
      </c>
      <c r="I29" s="74" t="s">
        <v>113</v>
      </c>
    </row>
    <row r="30" spans="1:9" ht="24.75" customHeight="1">
      <c r="A30" s="74"/>
      <c r="B30" s="75"/>
      <c r="C30" s="74"/>
      <c r="D30" s="443">
        <f>D29*$D$5*$I$3</f>
        <v>3665400</v>
      </c>
      <c r="E30" s="68">
        <f>E29*$E$5*$I$3</f>
        <v>3486600</v>
      </c>
      <c r="F30" s="68">
        <f>F29*$F$5*$I$3</f>
        <v>3978300</v>
      </c>
      <c r="G30" s="76"/>
      <c r="H30" s="69">
        <f t="shared" si="0"/>
        <v>428088.46153846156</v>
      </c>
      <c r="I30" s="81"/>
    </row>
    <row r="31" spans="1:9" ht="24.75" customHeight="1">
      <c r="A31" s="74"/>
      <c r="B31" s="75"/>
      <c r="C31" s="74"/>
      <c r="D31" s="76"/>
      <c r="E31" s="76"/>
      <c r="F31" s="76"/>
      <c r="G31" s="76"/>
      <c r="H31" s="69">
        <f t="shared" si="0"/>
        <v>0</v>
      </c>
      <c r="I31" s="81"/>
    </row>
    <row r="32" spans="1:9" ht="24.75" customHeight="1">
      <c r="A32" s="74">
        <v>2</v>
      </c>
      <c r="B32" s="75" t="s">
        <v>97</v>
      </c>
      <c r="C32" s="74"/>
      <c r="D32" s="68"/>
      <c r="E32" s="68"/>
      <c r="F32" s="68"/>
      <c r="G32" s="76"/>
      <c r="H32" s="69">
        <f t="shared" si="0"/>
        <v>0</v>
      </c>
      <c r="I32" s="74"/>
    </row>
    <row r="33" spans="1:9" ht="24.75" customHeight="1">
      <c r="A33" s="74"/>
      <c r="B33" s="75"/>
      <c r="C33" s="74"/>
      <c r="D33" s="76"/>
      <c r="E33" s="76"/>
      <c r="F33" s="76"/>
      <c r="G33" s="76"/>
      <c r="H33" s="69">
        <f t="shared" si="0"/>
        <v>0</v>
      </c>
      <c r="I33" s="79"/>
    </row>
    <row r="34" spans="1:9" ht="24.75" customHeight="1">
      <c r="A34" s="74"/>
      <c r="B34" s="75"/>
      <c r="C34" s="74"/>
      <c r="D34" s="76"/>
      <c r="E34" s="76"/>
      <c r="F34" s="76"/>
      <c r="G34" s="76"/>
      <c r="H34" s="69">
        <f t="shared" si="0"/>
        <v>0</v>
      </c>
      <c r="I34" s="79"/>
    </row>
    <row r="35" spans="1:9" ht="24.75" customHeight="1">
      <c r="A35" s="74" t="s">
        <v>13</v>
      </c>
      <c r="B35" s="75" t="s">
        <v>83</v>
      </c>
      <c r="C35" s="74"/>
      <c r="D35" s="68"/>
      <c r="E35" s="68">
        <v>1</v>
      </c>
      <c r="F35" s="68"/>
      <c r="G35" s="76">
        <v>1</v>
      </c>
      <c r="H35" s="69">
        <f t="shared" si="0"/>
        <v>0.07692307692307693</v>
      </c>
      <c r="I35" s="74" t="s">
        <v>114</v>
      </c>
    </row>
    <row r="36" spans="1:9" ht="24.75" customHeight="1">
      <c r="A36" s="74"/>
      <c r="B36" s="75"/>
      <c r="C36" s="74"/>
      <c r="D36" s="76"/>
      <c r="E36" s="68">
        <f>E35*$E$5*$I$3</f>
        <v>3486600</v>
      </c>
      <c r="F36" s="76"/>
      <c r="G36" s="76">
        <f>G35*$G$5*$I$3</f>
        <v>4961700</v>
      </c>
      <c r="H36" s="69">
        <f t="shared" si="0"/>
        <v>324934.6153846154</v>
      </c>
      <c r="I36" s="79"/>
    </row>
    <row r="37" spans="1:9" ht="24.75" customHeight="1">
      <c r="A37" s="74"/>
      <c r="B37" s="75"/>
      <c r="C37" s="74"/>
      <c r="D37" s="76"/>
      <c r="E37" s="76"/>
      <c r="F37" s="76"/>
      <c r="G37" s="76"/>
      <c r="H37" s="69">
        <f t="shared" si="0"/>
        <v>0</v>
      </c>
      <c r="I37" s="79"/>
    </row>
    <row r="38" spans="1:9" ht="24.75" customHeight="1">
      <c r="A38" s="74" t="s">
        <v>14</v>
      </c>
      <c r="B38" s="75" t="s">
        <v>85</v>
      </c>
      <c r="C38" s="74"/>
      <c r="D38" s="68"/>
      <c r="E38" s="68">
        <v>1</v>
      </c>
      <c r="F38" s="68"/>
      <c r="G38" s="76">
        <v>1</v>
      </c>
      <c r="H38" s="69">
        <f t="shared" si="0"/>
        <v>0.07692307692307693</v>
      </c>
      <c r="I38" s="74" t="s">
        <v>114</v>
      </c>
    </row>
    <row r="39" spans="1:9" ht="24.75" customHeight="1">
      <c r="A39" s="74"/>
      <c r="B39" s="75"/>
      <c r="C39" s="74"/>
      <c r="D39" s="76"/>
      <c r="E39" s="68">
        <f>E38*$E$5*$I$3</f>
        <v>3486600</v>
      </c>
      <c r="F39" s="76"/>
      <c r="G39" s="76">
        <f>G38*$G$5*$I$3</f>
        <v>4961700</v>
      </c>
      <c r="H39" s="69">
        <f t="shared" si="0"/>
        <v>324934.6153846154</v>
      </c>
      <c r="I39" s="79"/>
    </row>
    <row r="40" spans="1:9" ht="24.75" customHeight="1">
      <c r="A40" s="74"/>
      <c r="B40" s="75"/>
      <c r="C40" s="74"/>
      <c r="D40" s="76"/>
      <c r="E40" s="76"/>
      <c r="F40" s="76"/>
      <c r="G40" s="76"/>
      <c r="H40" s="69">
        <f t="shared" si="0"/>
        <v>0</v>
      </c>
      <c r="I40" s="79"/>
    </row>
    <row r="41" spans="1:9" ht="24.75" customHeight="1">
      <c r="A41" s="74" t="s">
        <v>15</v>
      </c>
      <c r="B41" s="75" t="s">
        <v>86</v>
      </c>
      <c r="C41" s="74"/>
      <c r="D41" s="68"/>
      <c r="E41" s="68">
        <v>1</v>
      </c>
      <c r="F41" s="68"/>
      <c r="G41" s="76">
        <v>1</v>
      </c>
      <c r="H41" s="69">
        <f t="shared" si="0"/>
        <v>0.07692307692307693</v>
      </c>
      <c r="I41" s="74" t="s">
        <v>114</v>
      </c>
    </row>
    <row r="42" spans="1:9" ht="24.75" customHeight="1">
      <c r="A42" s="74"/>
      <c r="B42" s="75"/>
      <c r="C42" s="74"/>
      <c r="D42" s="76"/>
      <c r="E42" s="68">
        <f>E41*$E$5*$I$3</f>
        <v>3486600</v>
      </c>
      <c r="F42" s="76"/>
      <c r="G42" s="76">
        <f>G41*$G$5*$I$3</f>
        <v>4961700</v>
      </c>
      <c r="H42" s="69">
        <f t="shared" si="0"/>
        <v>324934.6153846154</v>
      </c>
      <c r="I42" s="80"/>
    </row>
    <row r="43" spans="1:9" ht="24.75" customHeight="1">
      <c r="A43" s="74"/>
      <c r="B43" s="75"/>
      <c r="C43" s="74"/>
      <c r="D43" s="76"/>
      <c r="E43" s="76"/>
      <c r="F43" s="76"/>
      <c r="G43" s="76"/>
      <c r="H43" s="69">
        <f t="shared" si="0"/>
        <v>0</v>
      </c>
      <c r="I43" s="80"/>
    </row>
    <row r="44" spans="1:9" ht="24.75" customHeight="1">
      <c r="A44" s="74" t="s">
        <v>25</v>
      </c>
      <c r="B44" s="75" t="s">
        <v>88</v>
      </c>
      <c r="C44" s="74"/>
      <c r="D44" s="68"/>
      <c r="E44" s="68">
        <v>1</v>
      </c>
      <c r="F44" s="68"/>
      <c r="G44" s="76">
        <v>1</v>
      </c>
      <c r="H44" s="69">
        <f t="shared" si="0"/>
        <v>0.07692307692307693</v>
      </c>
      <c r="I44" s="74" t="s">
        <v>114</v>
      </c>
    </row>
    <row r="45" spans="1:9" ht="24.75" customHeight="1">
      <c r="A45" s="74"/>
      <c r="B45" s="75"/>
      <c r="C45" s="74"/>
      <c r="D45" s="76"/>
      <c r="E45" s="68">
        <f>E44*$E$5*$I$3</f>
        <v>3486600</v>
      </c>
      <c r="F45" s="76"/>
      <c r="G45" s="76">
        <f>G44*$G$5*$I$3</f>
        <v>4961700</v>
      </c>
      <c r="H45" s="69">
        <f t="shared" si="0"/>
        <v>324934.6153846154</v>
      </c>
      <c r="I45" s="77"/>
    </row>
    <row r="46" spans="1:9" ht="24.75" customHeight="1">
      <c r="A46" s="74"/>
      <c r="B46" s="75"/>
      <c r="C46" s="74"/>
      <c r="D46" s="76"/>
      <c r="E46" s="76"/>
      <c r="F46" s="76"/>
      <c r="G46" s="76"/>
      <c r="H46" s="69">
        <f t="shared" si="0"/>
        <v>0</v>
      </c>
      <c r="I46" s="77"/>
    </row>
    <row r="47" spans="1:9" ht="24.75" customHeight="1">
      <c r="A47" s="74" t="s">
        <v>47</v>
      </c>
      <c r="B47" s="75" t="s">
        <v>90</v>
      </c>
      <c r="C47" s="74"/>
      <c r="D47" s="68"/>
      <c r="E47" s="68">
        <v>1</v>
      </c>
      <c r="F47" s="68"/>
      <c r="G47" s="76">
        <v>1</v>
      </c>
      <c r="H47" s="69">
        <f t="shared" si="0"/>
        <v>0.07692307692307693</v>
      </c>
      <c r="I47" s="74" t="s">
        <v>114</v>
      </c>
    </row>
    <row r="48" spans="1:9" ht="24.75" customHeight="1">
      <c r="A48" s="74"/>
      <c r="B48" s="75"/>
      <c r="C48" s="74"/>
      <c r="D48" s="76"/>
      <c r="E48" s="68">
        <f>E47*$E$5*$I$3</f>
        <v>3486600</v>
      </c>
      <c r="F48" s="76"/>
      <c r="G48" s="76">
        <f>G47*$G$5*$I$3</f>
        <v>4961700</v>
      </c>
      <c r="H48" s="69">
        <f t="shared" si="0"/>
        <v>324934.6153846154</v>
      </c>
      <c r="I48" s="81"/>
    </row>
    <row r="49" spans="1:9" ht="24.75" customHeight="1">
      <c r="A49" s="74"/>
      <c r="B49" s="75"/>
      <c r="C49" s="74"/>
      <c r="D49" s="76"/>
      <c r="E49" s="76"/>
      <c r="F49" s="76"/>
      <c r="G49" s="76"/>
      <c r="H49" s="69">
        <f t="shared" si="0"/>
        <v>0</v>
      </c>
      <c r="I49" s="81"/>
    </row>
    <row r="50" spans="1:9" ht="24.75" customHeight="1">
      <c r="A50" s="74" t="s">
        <v>53</v>
      </c>
      <c r="B50" s="75" t="s">
        <v>92</v>
      </c>
      <c r="C50" s="74"/>
      <c r="D50" s="68"/>
      <c r="E50" s="68">
        <v>1</v>
      </c>
      <c r="F50" s="68"/>
      <c r="G50" s="76">
        <v>1</v>
      </c>
      <c r="H50" s="69">
        <f t="shared" si="0"/>
        <v>0.07692307692307693</v>
      </c>
      <c r="I50" s="74" t="s">
        <v>114</v>
      </c>
    </row>
    <row r="51" spans="1:9" ht="24.75" customHeight="1">
      <c r="A51" s="74"/>
      <c r="B51" s="75"/>
      <c r="C51" s="74"/>
      <c r="D51" s="76"/>
      <c r="E51" s="68">
        <f>E50*$E$5*$I$3</f>
        <v>3486600</v>
      </c>
      <c r="F51" s="76"/>
      <c r="G51" s="76">
        <f>G50*$G$5*$I$3</f>
        <v>4961700</v>
      </c>
      <c r="H51" s="69">
        <f t="shared" si="0"/>
        <v>324934.6153846154</v>
      </c>
      <c r="I51" s="77"/>
    </row>
    <row r="52" spans="1:9" ht="24.75" customHeight="1">
      <c r="A52" s="74"/>
      <c r="B52" s="75"/>
      <c r="C52" s="74"/>
      <c r="D52" s="76"/>
      <c r="E52" s="76"/>
      <c r="F52" s="76"/>
      <c r="G52" s="76"/>
      <c r="H52" s="69">
        <f t="shared" si="0"/>
        <v>0</v>
      </c>
      <c r="I52" s="77"/>
    </row>
    <row r="53" spans="1:9" ht="24.75" customHeight="1">
      <c r="A53" s="74" t="s">
        <v>54</v>
      </c>
      <c r="B53" s="75" t="s">
        <v>93</v>
      </c>
      <c r="C53" s="74"/>
      <c r="D53" s="68"/>
      <c r="E53" s="68">
        <v>1</v>
      </c>
      <c r="F53" s="68"/>
      <c r="G53" s="76">
        <v>1</v>
      </c>
      <c r="H53" s="69">
        <f t="shared" si="0"/>
        <v>0.07692307692307693</v>
      </c>
      <c r="I53" s="74" t="s">
        <v>114</v>
      </c>
    </row>
    <row r="54" spans="1:9" ht="24.75" customHeight="1">
      <c r="A54" s="74"/>
      <c r="B54" s="75"/>
      <c r="C54" s="74"/>
      <c r="D54" s="76"/>
      <c r="E54" s="68">
        <f>E53*$E$5*$I$3</f>
        <v>3486600</v>
      </c>
      <c r="F54" s="76"/>
      <c r="G54" s="76">
        <f>G53*$G$5*$I$3</f>
        <v>4961700</v>
      </c>
      <c r="H54" s="69">
        <f t="shared" si="0"/>
        <v>324934.6153846154</v>
      </c>
      <c r="I54" s="77"/>
    </row>
    <row r="55" spans="1:9" ht="24.75" customHeight="1">
      <c r="A55" s="74"/>
      <c r="B55" s="75"/>
      <c r="C55" s="74"/>
      <c r="D55" s="76"/>
      <c r="E55" s="76"/>
      <c r="F55" s="76"/>
      <c r="G55" s="76"/>
      <c r="H55" s="69">
        <f t="shared" si="0"/>
        <v>0</v>
      </c>
      <c r="I55" s="82"/>
    </row>
    <row r="56" spans="1:9" ht="24.75" customHeight="1">
      <c r="A56" s="74" t="s">
        <v>99</v>
      </c>
      <c r="B56" s="75" t="s">
        <v>96</v>
      </c>
      <c r="C56" s="74"/>
      <c r="D56" s="68"/>
      <c r="E56" s="68">
        <v>1</v>
      </c>
      <c r="F56" s="68"/>
      <c r="G56" s="76">
        <v>1</v>
      </c>
      <c r="H56" s="69">
        <f t="shared" si="0"/>
        <v>0.07692307692307693</v>
      </c>
      <c r="I56" s="74" t="s">
        <v>114</v>
      </c>
    </row>
    <row r="57" spans="1:9" ht="24.75" customHeight="1">
      <c r="A57" s="74"/>
      <c r="B57" s="75"/>
      <c r="C57" s="74"/>
      <c r="D57" s="76"/>
      <c r="E57" s="68">
        <f>E56*$E$5*$I$3</f>
        <v>3486600</v>
      </c>
      <c r="F57" s="76"/>
      <c r="G57" s="76">
        <f>G56*$G$5*$I$3</f>
        <v>4961700</v>
      </c>
      <c r="H57" s="69">
        <f t="shared" si="0"/>
        <v>324934.6153846154</v>
      </c>
      <c r="I57" s="81"/>
    </row>
    <row r="58" spans="1:9" ht="24.75" customHeight="1">
      <c r="A58" s="74"/>
      <c r="B58" s="75"/>
      <c r="C58" s="74"/>
      <c r="D58" s="76"/>
      <c r="E58" s="76"/>
      <c r="F58" s="76"/>
      <c r="G58" s="76"/>
      <c r="H58" s="69">
        <f t="shared" si="0"/>
        <v>0</v>
      </c>
      <c r="I58" s="81"/>
    </row>
    <row r="59" spans="1:9" ht="24.75" customHeight="1">
      <c r="A59" s="74">
        <v>3</v>
      </c>
      <c r="B59" s="75" t="s">
        <v>100</v>
      </c>
      <c r="C59" s="74"/>
      <c r="D59" s="68"/>
      <c r="E59" s="68"/>
      <c r="F59" s="68"/>
      <c r="G59" s="76"/>
      <c r="H59" s="69">
        <f t="shared" si="0"/>
        <v>0</v>
      </c>
      <c r="I59" s="74"/>
    </row>
    <row r="60" spans="1:9" ht="24.75" customHeight="1">
      <c r="A60" s="74"/>
      <c r="B60" s="75"/>
      <c r="C60" s="74"/>
      <c r="D60" s="68"/>
      <c r="E60" s="68"/>
      <c r="F60" s="68"/>
      <c r="G60" s="76"/>
      <c r="H60" s="69">
        <f t="shared" si="0"/>
        <v>0</v>
      </c>
      <c r="I60" s="77"/>
    </row>
    <row r="61" spans="1:9" ht="24.75" customHeight="1">
      <c r="A61" s="74"/>
      <c r="B61" s="75"/>
      <c r="C61" s="74"/>
      <c r="D61" s="76"/>
      <c r="E61" s="76"/>
      <c r="F61" s="76"/>
      <c r="G61" s="76"/>
      <c r="H61" s="69">
        <f t="shared" si="0"/>
        <v>0</v>
      </c>
      <c r="I61" s="77"/>
    </row>
    <row r="62" spans="1:9" ht="39" customHeight="1">
      <c r="A62" s="74" t="s">
        <v>19</v>
      </c>
      <c r="B62" s="75" t="s">
        <v>83</v>
      </c>
      <c r="C62" s="74"/>
      <c r="D62" s="68">
        <v>2</v>
      </c>
      <c r="E62" s="68">
        <v>1</v>
      </c>
      <c r="F62" s="68">
        <v>2</v>
      </c>
      <c r="G62" s="76"/>
      <c r="H62" s="69">
        <f t="shared" si="0"/>
        <v>0.19230769230769232</v>
      </c>
      <c r="I62" s="74" t="s">
        <v>115</v>
      </c>
    </row>
    <row r="63" spans="1:9" ht="24.75" customHeight="1">
      <c r="A63" s="74"/>
      <c r="B63" s="75"/>
      <c r="C63" s="74"/>
      <c r="D63" s="68">
        <f>D62*$D$5*$I$3</f>
        <v>7330800</v>
      </c>
      <c r="E63" s="68">
        <f>E62*$E$5*$I$3</f>
        <v>3486600</v>
      </c>
      <c r="F63" s="68">
        <f>F62*$F$5*$I$3</f>
        <v>7956600</v>
      </c>
      <c r="G63" s="76"/>
      <c r="H63" s="69">
        <f t="shared" si="0"/>
        <v>722076.9230769231</v>
      </c>
      <c r="I63" s="77"/>
    </row>
    <row r="64" spans="1:9" ht="24.75" customHeight="1">
      <c r="A64" s="74"/>
      <c r="B64" s="75"/>
      <c r="C64" s="74"/>
      <c r="D64" s="76"/>
      <c r="E64" s="76"/>
      <c r="F64" s="76"/>
      <c r="G64" s="76"/>
      <c r="H64" s="69">
        <f t="shared" si="0"/>
        <v>0</v>
      </c>
      <c r="I64" s="77"/>
    </row>
    <row r="65" spans="1:9" ht="36.75" customHeight="1">
      <c r="A65" s="74" t="s">
        <v>20</v>
      </c>
      <c r="B65" s="75" t="s">
        <v>85</v>
      </c>
      <c r="C65" s="74"/>
      <c r="D65" s="68">
        <v>2</v>
      </c>
      <c r="E65" s="68">
        <v>1</v>
      </c>
      <c r="F65" s="68">
        <v>2</v>
      </c>
      <c r="G65" s="76"/>
      <c r="H65" s="69">
        <f t="shared" si="0"/>
        <v>0.19230769230769232</v>
      </c>
      <c r="I65" s="74" t="s">
        <v>115</v>
      </c>
    </row>
    <row r="66" spans="1:9" ht="24.75" customHeight="1">
      <c r="A66" s="74"/>
      <c r="B66" s="75"/>
      <c r="C66" s="74"/>
      <c r="D66" s="68">
        <f>D65*$D$5*$I$3</f>
        <v>7330800</v>
      </c>
      <c r="E66" s="68">
        <f>E65*$E$5*$I$3</f>
        <v>3486600</v>
      </c>
      <c r="F66" s="68">
        <f>F65*$F$5*$I$3</f>
        <v>7956600</v>
      </c>
      <c r="G66" s="76"/>
      <c r="H66" s="69">
        <f t="shared" si="0"/>
        <v>722076.9230769231</v>
      </c>
      <c r="I66" s="81"/>
    </row>
    <row r="67" spans="1:9" ht="24.75" customHeight="1">
      <c r="A67" s="74"/>
      <c r="B67" s="75"/>
      <c r="C67" s="74"/>
      <c r="D67" s="76"/>
      <c r="E67" s="76"/>
      <c r="F67" s="76"/>
      <c r="G67" s="76"/>
      <c r="H67" s="69">
        <f t="shared" si="0"/>
        <v>0</v>
      </c>
      <c r="I67" s="81"/>
    </row>
    <row r="68" spans="1:9" ht="36.75" customHeight="1">
      <c r="A68" s="74" t="s">
        <v>101</v>
      </c>
      <c r="B68" s="75" t="s">
        <v>86</v>
      </c>
      <c r="C68" s="74"/>
      <c r="D68" s="68">
        <v>2</v>
      </c>
      <c r="E68" s="68">
        <v>1</v>
      </c>
      <c r="F68" s="68">
        <v>2</v>
      </c>
      <c r="G68" s="76"/>
      <c r="H68" s="69">
        <f t="shared" si="0"/>
        <v>0.19230769230769232</v>
      </c>
      <c r="I68" s="74" t="s">
        <v>115</v>
      </c>
    </row>
    <row r="69" spans="1:9" ht="24.75" customHeight="1">
      <c r="A69" s="74"/>
      <c r="B69" s="75"/>
      <c r="C69" s="74"/>
      <c r="D69" s="68">
        <f>D68*$D$5*$I$3</f>
        <v>7330800</v>
      </c>
      <c r="E69" s="68">
        <f>E68*$E$5*$I$3</f>
        <v>3486600</v>
      </c>
      <c r="F69" s="68">
        <f>F68*$F$5*$I$3</f>
        <v>7956600</v>
      </c>
      <c r="G69" s="76"/>
      <c r="H69" s="69">
        <f t="shared" si="0"/>
        <v>722076.9230769231</v>
      </c>
      <c r="I69" s="77"/>
    </row>
    <row r="70" spans="1:9" ht="24.75" customHeight="1">
      <c r="A70" s="74"/>
      <c r="B70" s="75"/>
      <c r="C70" s="74"/>
      <c r="D70" s="76"/>
      <c r="E70" s="76"/>
      <c r="F70" s="76"/>
      <c r="G70" s="76"/>
      <c r="H70" s="69">
        <f t="shared" si="0"/>
        <v>0</v>
      </c>
      <c r="I70" s="77"/>
    </row>
    <row r="71" spans="1:9" ht="35.25" customHeight="1">
      <c r="A71" s="74" t="s">
        <v>74</v>
      </c>
      <c r="B71" s="75" t="s">
        <v>102</v>
      </c>
      <c r="C71" s="74"/>
      <c r="D71" s="68">
        <v>2</v>
      </c>
      <c r="E71" s="68">
        <v>1</v>
      </c>
      <c r="F71" s="68">
        <v>2</v>
      </c>
      <c r="G71" s="76"/>
      <c r="H71" s="69">
        <f t="shared" si="0"/>
        <v>0.19230769230769232</v>
      </c>
      <c r="I71" s="74" t="s">
        <v>115</v>
      </c>
    </row>
    <row r="72" spans="1:9" ht="24.75" customHeight="1">
      <c r="A72" s="74"/>
      <c r="B72" s="75"/>
      <c r="C72" s="74"/>
      <c r="D72" s="68">
        <f>D71*$D$5*$I$3</f>
        <v>7330800</v>
      </c>
      <c r="E72" s="68">
        <f>E71*$E$5*$I$3</f>
        <v>3486600</v>
      </c>
      <c r="F72" s="68">
        <f>F71*$F$5*$I$3</f>
        <v>7956600</v>
      </c>
      <c r="G72" s="76"/>
      <c r="H72" s="69">
        <f t="shared" si="0"/>
        <v>722076.9230769231</v>
      </c>
      <c r="I72" s="77"/>
    </row>
    <row r="73" spans="1:9" ht="24.75" customHeight="1">
      <c r="A73" s="74"/>
      <c r="B73" s="75"/>
      <c r="C73" s="74"/>
      <c r="D73" s="76"/>
      <c r="E73" s="76"/>
      <c r="F73" s="76"/>
      <c r="G73" s="76"/>
      <c r="H73" s="69">
        <f t="shared" si="0"/>
        <v>0</v>
      </c>
      <c r="I73" s="77"/>
    </row>
    <row r="74" spans="1:9" ht="35.25" customHeight="1">
      <c r="A74" s="74" t="s">
        <v>75</v>
      </c>
      <c r="B74" s="75" t="s">
        <v>90</v>
      </c>
      <c r="C74" s="74"/>
      <c r="D74" s="68">
        <v>2</v>
      </c>
      <c r="E74" s="68">
        <v>1</v>
      </c>
      <c r="F74" s="68">
        <v>2</v>
      </c>
      <c r="G74" s="76"/>
      <c r="H74" s="69">
        <f aca="true" t="shared" si="1" ref="H74:H137">SUM(C74:G74)/26</f>
        <v>0.19230769230769232</v>
      </c>
      <c r="I74" s="74" t="s">
        <v>115</v>
      </c>
    </row>
    <row r="75" spans="1:9" ht="24.75" customHeight="1">
      <c r="A75" s="74"/>
      <c r="B75" s="75"/>
      <c r="C75" s="74"/>
      <c r="D75" s="68">
        <f>D74*$D$5*$I$3</f>
        <v>7330800</v>
      </c>
      <c r="E75" s="68">
        <f>E74*$E$5*$I$3</f>
        <v>3486600</v>
      </c>
      <c r="F75" s="68">
        <f>F74*$F$5*$I$3</f>
        <v>7956600</v>
      </c>
      <c r="G75" s="76"/>
      <c r="H75" s="69">
        <f t="shared" si="1"/>
        <v>722076.9230769231</v>
      </c>
      <c r="I75" s="81"/>
    </row>
    <row r="76" spans="1:9" ht="24.75" customHeight="1">
      <c r="A76" s="74"/>
      <c r="B76" s="75"/>
      <c r="C76" s="74"/>
      <c r="D76" s="76"/>
      <c r="E76" s="76"/>
      <c r="F76" s="76"/>
      <c r="G76" s="76"/>
      <c r="H76" s="69">
        <f t="shared" si="1"/>
        <v>0</v>
      </c>
      <c r="I76" s="81"/>
    </row>
    <row r="77" spans="1:9" ht="24.75" customHeight="1">
      <c r="A77" s="74" t="s">
        <v>78</v>
      </c>
      <c r="B77" s="75" t="s">
        <v>92</v>
      </c>
      <c r="C77" s="74"/>
      <c r="D77" s="68">
        <v>2</v>
      </c>
      <c r="E77" s="68">
        <v>1</v>
      </c>
      <c r="F77" s="68">
        <v>2</v>
      </c>
      <c r="G77" s="76"/>
      <c r="H77" s="69">
        <f t="shared" si="1"/>
        <v>0.19230769230769232</v>
      </c>
      <c r="I77" s="74" t="s">
        <v>115</v>
      </c>
    </row>
    <row r="78" spans="1:9" ht="24.75" customHeight="1">
      <c r="A78" s="74"/>
      <c r="B78" s="75"/>
      <c r="C78" s="74"/>
      <c r="D78" s="68">
        <f>D77*$D$5*$I$3</f>
        <v>7330800</v>
      </c>
      <c r="E78" s="68">
        <f>E77*$E$5*$I$3</f>
        <v>3486600</v>
      </c>
      <c r="F78" s="68">
        <f>F77*$F$5*$I$3</f>
        <v>7956600</v>
      </c>
      <c r="G78" s="76"/>
      <c r="H78" s="69">
        <f t="shared" si="1"/>
        <v>722076.9230769231</v>
      </c>
      <c r="I78" s="77"/>
    </row>
    <row r="79" spans="1:9" ht="24.75" customHeight="1">
      <c r="A79" s="74"/>
      <c r="B79" s="75"/>
      <c r="C79" s="74"/>
      <c r="D79" s="76"/>
      <c r="E79" s="76"/>
      <c r="F79" s="76"/>
      <c r="G79" s="76"/>
      <c r="H79" s="69">
        <f t="shared" si="1"/>
        <v>0</v>
      </c>
      <c r="I79" s="77"/>
    </row>
    <row r="80" spans="1:9" ht="36" customHeight="1">
      <c r="A80" s="74" t="s">
        <v>77</v>
      </c>
      <c r="B80" s="75" t="s">
        <v>93</v>
      </c>
      <c r="C80" s="74"/>
      <c r="D80" s="68">
        <v>2</v>
      </c>
      <c r="E80" s="68">
        <v>1</v>
      </c>
      <c r="F80" s="68">
        <v>2</v>
      </c>
      <c r="G80" s="76"/>
      <c r="H80" s="69">
        <f t="shared" si="1"/>
        <v>0.19230769230769232</v>
      </c>
      <c r="I80" s="74" t="s">
        <v>115</v>
      </c>
    </row>
    <row r="81" spans="1:9" ht="24.75" customHeight="1">
      <c r="A81" s="74"/>
      <c r="B81" s="75"/>
      <c r="C81" s="74"/>
      <c r="D81" s="68">
        <f>D80*$D$5*$I$3</f>
        <v>7330800</v>
      </c>
      <c r="E81" s="68">
        <f>E80*$E$5*$I$3</f>
        <v>3486600</v>
      </c>
      <c r="F81" s="68">
        <f>F80*$F$5*$I$3</f>
        <v>7956600</v>
      </c>
      <c r="G81" s="76"/>
      <c r="H81" s="69">
        <f t="shared" si="1"/>
        <v>722076.9230769231</v>
      </c>
      <c r="I81" s="77"/>
    </row>
    <row r="82" spans="1:9" ht="24.75" customHeight="1">
      <c r="A82" s="74"/>
      <c r="B82" s="75"/>
      <c r="C82" s="74"/>
      <c r="D82" s="76"/>
      <c r="E82" s="76"/>
      <c r="F82" s="76"/>
      <c r="G82" s="76"/>
      <c r="H82" s="69">
        <f t="shared" si="1"/>
        <v>0</v>
      </c>
      <c r="I82" s="77"/>
    </row>
    <row r="83" spans="1:9" ht="39" customHeight="1">
      <c r="A83" s="74" t="s">
        <v>76</v>
      </c>
      <c r="B83" s="75" t="s">
        <v>96</v>
      </c>
      <c r="C83" s="74"/>
      <c r="D83" s="68">
        <v>2</v>
      </c>
      <c r="E83" s="68">
        <v>1</v>
      </c>
      <c r="F83" s="68">
        <v>2</v>
      </c>
      <c r="G83" s="76"/>
      <c r="H83" s="69">
        <f t="shared" si="1"/>
        <v>0.19230769230769232</v>
      </c>
      <c r="I83" s="74" t="s">
        <v>115</v>
      </c>
    </row>
    <row r="84" spans="1:9" ht="24.75" customHeight="1">
      <c r="A84" s="74"/>
      <c r="B84" s="75"/>
      <c r="C84" s="74"/>
      <c r="D84" s="68">
        <f>D83*$D$5*$I$3</f>
        <v>7330800</v>
      </c>
      <c r="E84" s="68">
        <f>E83*$E$5*$I$3</f>
        <v>3486600</v>
      </c>
      <c r="F84" s="68">
        <f>F83*$F$5*$I$3</f>
        <v>7956600</v>
      </c>
      <c r="G84" s="76"/>
      <c r="H84" s="69">
        <f t="shared" si="1"/>
        <v>722076.9230769231</v>
      </c>
      <c r="I84" s="81"/>
    </row>
    <row r="85" spans="1:9" ht="24.75" customHeight="1">
      <c r="A85" s="74"/>
      <c r="B85" s="75"/>
      <c r="C85" s="74"/>
      <c r="D85" s="76"/>
      <c r="E85" s="76"/>
      <c r="F85" s="76"/>
      <c r="G85" s="76"/>
      <c r="H85" s="69">
        <f t="shared" si="1"/>
        <v>0</v>
      </c>
      <c r="I85" s="81"/>
    </row>
    <row r="86" spans="1:9" ht="24.75" customHeight="1">
      <c r="A86" s="74">
        <v>4</v>
      </c>
      <c r="B86" s="75" t="s">
        <v>103</v>
      </c>
      <c r="C86" s="74"/>
      <c r="D86" s="68">
        <v>2</v>
      </c>
      <c r="E86" s="68">
        <v>1</v>
      </c>
      <c r="F86" s="68">
        <v>2</v>
      </c>
      <c r="G86" s="76"/>
      <c r="H86" s="69">
        <f t="shared" si="1"/>
        <v>0.19230769230769232</v>
      </c>
      <c r="I86" s="74"/>
    </row>
    <row r="87" spans="1:9" ht="24.75" customHeight="1">
      <c r="A87" s="74"/>
      <c r="B87" s="75"/>
      <c r="C87" s="74"/>
      <c r="D87" s="68">
        <f>D86*$D$5*$I$3</f>
        <v>7330800</v>
      </c>
      <c r="E87" s="68">
        <f>E86*$E$5*$I$3</f>
        <v>3486600</v>
      </c>
      <c r="F87" s="68">
        <f>F86*$F$5*$I$3</f>
        <v>7956600</v>
      </c>
      <c r="G87" s="76"/>
      <c r="H87" s="69">
        <f t="shared" si="1"/>
        <v>722076.9230769231</v>
      </c>
      <c r="I87" s="77"/>
    </row>
    <row r="88" spans="1:9" ht="24.75" customHeight="1">
      <c r="A88" s="74"/>
      <c r="B88" s="75"/>
      <c r="C88" s="74"/>
      <c r="D88" s="76"/>
      <c r="E88" s="76"/>
      <c r="F88" s="76"/>
      <c r="G88" s="76"/>
      <c r="H88" s="69">
        <f t="shared" si="1"/>
        <v>0</v>
      </c>
      <c r="I88" s="77"/>
    </row>
    <row r="89" spans="1:9" ht="46.5" customHeight="1">
      <c r="A89" s="74" t="s">
        <v>104</v>
      </c>
      <c r="B89" s="75" t="s">
        <v>83</v>
      </c>
      <c r="C89" s="74"/>
      <c r="D89" s="68"/>
      <c r="E89" s="68"/>
      <c r="F89" s="68">
        <v>1</v>
      </c>
      <c r="G89" s="76">
        <v>1</v>
      </c>
      <c r="H89" s="69">
        <f t="shared" si="1"/>
        <v>0.07692307692307693</v>
      </c>
      <c r="I89" s="74" t="s">
        <v>116</v>
      </c>
    </row>
    <row r="90" spans="1:9" ht="24.75" customHeight="1">
      <c r="A90" s="74"/>
      <c r="B90" s="75"/>
      <c r="C90" s="74"/>
      <c r="D90" s="76"/>
      <c r="E90" s="76"/>
      <c r="F90" s="68">
        <f>F89*$F$5*$I$3</f>
        <v>3978300</v>
      </c>
      <c r="G90" s="76">
        <f>G89*$G$5*$I$3</f>
        <v>4961700</v>
      </c>
      <c r="H90" s="69">
        <f t="shared" si="1"/>
        <v>343846.1538461539</v>
      </c>
      <c r="I90" s="81"/>
    </row>
    <row r="91" spans="1:9" ht="24.75" customHeight="1">
      <c r="A91" s="74"/>
      <c r="B91" s="75"/>
      <c r="C91" s="74"/>
      <c r="D91" s="76"/>
      <c r="E91" s="76"/>
      <c r="F91" s="76"/>
      <c r="G91" s="76"/>
      <c r="H91" s="69">
        <f t="shared" si="1"/>
        <v>0</v>
      </c>
      <c r="I91" s="81"/>
    </row>
    <row r="92" spans="1:9" ht="42.75" customHeight="1">
      <c r="A92" s="74" t="s">
        <v>105</v>
      </c>
      <c r="B92" s="75" t="s">
        <v>85</v>
      </c>
      <c r="C92" s="74"/>
      <c r="D92" s="68"/>
      <c r="E92" s="68"/>
      <c r="F92" s="68">
        <v>1</v>
      </c>
      <c r="G92" s="76">
        <v>1</v>
      </c>
      <c r="H92" s="69">
        <f t="shared" si="1"/>
        <v>0.07692307692307693</v>
      </c>
      <c r="I92" s="74" t="s">
        <v>116</v>
      </c>
    </row>
    <row r="93" spans="1:9" ht="24.75" customHeight="1">
      <c r="A93" s="74"/>
      <c r="B93" s="75"/>
      <c r="C93" s="74"/>
      <c r="D93" s="76"/>
      <c r="E93" s="76"/>
      <c r="F93" s="68">
        <f>F92*$F$5*$I$3</f>
        <v>3978300</v>
      </c>
      <c r="G93" s="76">
        <f>G92*$G$5*$I$3</f>
        <v>4961700</v>
      </c>
      <c r="H93" s="69">
        <f t="shared" si="1"/>
        <v>343846.1538461539</v>
      </c>
      <c r="I93" s="81"/>
    </row>
    <row r="94" spans="1:9" ht="24.75" customHeight="1">
      <c r="A94" s="74"/>
      <c r="B94" s="75"/>
      <c r="C94" s="74"/>
      <c r="D94" s="76"/>
      <c r="E94" s="76"/>
      <c r="F94" s="76"/>
      <c r="G94" s="76"/>
      <c r="H94" s="69">
        <f t="shared" si="1"/>
        <v>0</v>
      </c>
      <c r="I94" s="81"/>
    </row>
    <row r="95" spans="1:9" ht="24.75" customHeight="1">
      <c r="A95" s="74" t="s">
        <v>106</v>
      </c>
      <c r="B95" s="75" t="s">
        <v>86</v>
      </c>
      <c r="C95" s="74"/>
      <c r="D95" s="68"/>
      <c r="E95" s="68"/>
      <c r="F95" s="68">
        <v>1</v>
      </c>
      <c r="G95" s="76">
        <v>1</v>
      </c>
      <c r="H95" s="69">
        <f t="shared" si="1"/>
        <v>0.07692307692307693</v>
      </c>
      <c r="I95" s="74" t="s">
        <v>116</v>
      </c>
    </row>
    <row r="96" spans="1:9" ht="24.75" customHeight="1">
      <c r="A96" s="74"/>
      <c r="B96" s="75"/>
      <c r="C96" s="74"/>
      <c r="D96" s="76"/>
      <c r="E96" s="76"/>
      <c r="F96" s="68">
        <f>F95*$F$5*$I$3</f>
        <v>3978300</v>
      </c>
      <c r="G96" s="76">
        <f>G95*$G$5*$I$3</f>
        <v>4961700</v>
      </c>
      <c r="H96" s="69">
        <f t="shared" si="1"/>
        <v>343846.1538461539</v>
      </c>
      <c r="I96" s="77"/>
    </row>
    <row r="97" spans="1:9" ht="24.75" customHeight="1">
      <c r="A97" s="74"/>
      <c r="B97" s="75"/>
      <c r="C97" s="74"/>
      <c r="D97" s="76"/>
      <c r="E97" s="76"/>
      <c r="F97" s="76"/>
      <c r="G97" s="76"/>
      <c r="H97" s="69">
        <f t="shared" si="1"/>
        <v>0</v>
      </c>
      <c r="I97" s="77"/>
    </row>
    <row r="98" spans="1:9" ht="24.75" customHeight="1">
      <c r="A98" s="74" t="s">
        <v>107</v>
      </c>
      <c r="B98" s="75" t="s">
        <v>102</v>
      </c>
      <c r="C98" s="74"/>
      <c r="D98" s="68"/>
      <c r="E98" s="68"/>
      <c r="F98" s="68">
        <v>1</v>
      </c>
      <c r="G98" s="76">
        <v>1</v>
      </c>
      <c r="H98" s="69">
        <f t="shared" si="1"/>
        <v>0.07692307692307693</v>
      </c>
      <c r="I98" s="74" t="s">
        <v>116</v>
      </c>
    </row>
    <row r="99" spans="1:9" ht="24.75" customHeight="1">
      <c r="A99" s="74"/>
      <c r="B99" s="75"/>
      <c r="C99" s="74"/>
      <c r="D99" s="76"/>
      <c r="E99" s="76"/>
      <c r="F99" s="68">
        <f>F98*$F$5*$I$3</f>
        <v>3978300</v>
      </c>
      <c r="G99" s="76">
        <f>G98*$G$5*$I$3</f>
        <v>4961700</v>
      </c>
      <c r="H99" s="69">
        <f t="shared" si="1"/>
        <v>343846.1538461539</v>
      </c>
      <c r="I99" s="81"/>
    </row>
    <row r="100" spans="1:9" ht="24.75" customHeight="1">
      <c r="A100" s="74"/>
      <c r="B100" s="75"/>
      <c r="C100" s="74"/>
      <c r="D100" s="76"/>
      <c r="E100" s="76"/>
      <c r="F100" s="76"/>
      <c r="G100" s="76"/>
      <c r="H100" s="69">
        <f t="shared" si="1"/>
        <v>0</v>
      </c>
      <c r="I100" s="81"/>
    </row>
    <row r="101" spans="1:9" ht="24.75" customHeight="1">
      <c r="A101" s="74" t="s">
        <v>108</v>
      </c>
      <c r="B101" s="75" t="s">
        <v>90</v>
      </c>
      <c r="C101" s="74"/>
      <c r="D101" s="68"/>
      <c r="E101" s="68"/>
      <c r="F101" s="68">
        <v>1</v>
      </c>
      <c r="G101" s="76">
        <v>1</v>
      </c>
      <c r="H101" s="69">
        <f t="shared" si="1"/>
        <v>0.07692307692307693</v>
      </c>
      <c r="I101" s="74" t="s">
        <v>116</v>
      </c>
    </row>
    <row r="102" spans="1:9" ht="24.75" customHeight="1">
      <c r="A102" s="74"/>
      <c r="B102" s="75"/>
      <c r="C102" s="74"/>
      <c r="D102" s="76"/>
      <c r="E102" s="76"/>
      <c r="F102" s="68">
        <f>F101*$F$5*$I$3</f>
        <v>3978300</v>
      </c>
      <c r="G102" s="76">
        <f>G101*$G$5*$I$3</f>
        <v>4961700</v>
      </c>
      <c r="H102" s="69">
        <f t="shared" si="1"/>
        <v>343846.1538461539</v>
      </c>
      <c r="I102" s="81"/>
    </row>
    <row r="103" spans="1:9" ht="24.75" customHeight="1">
      <c r="A103" s="74"/>
      <c r="B103" s="75"/>
      <c r="C103" s="74"/>
      <c r="D103" s="76"/>
      <c r="E103" s="76"/>
      <c r="F103" s="76"/>
      <c r="G103" s="76"/>
      <c r="H103" s="69">
        <f t="shared" si="1"/>
        <v>0</v>
      </c>
      <c r="I103" s="81"/>
    </row>
    <row r="104" spans="1:9" ht="36" customHeight="1">
      <c r="A104" s="74" t="s">
        <v>109</v>
      </c>
      <c r="B104" s="75" t="s">
        <v>92</v>
      </c>
      <c r="C104" s="74"/>
      <c r="D104" s="68"/>
      <c r="E104" s="68"/>
      <c r="F104" s="68">
        <v>1</v>
      </c>
      <c r="G104" s="76">
        <v>1</v>
      </c>
      <c r="H104" s="69">
        <f t="shared" si="1"/>
        <v>0.07692307692307693</v>
      </c>
      <c r="I104" s="74" t="s">
        <v>116</v>
      </c>
    </row>
    <row r="105" spans="1:9" ht="24.75" customHeight="1">
      <c r="A105" s="74"/>
      <c r="B105" s="75"/>
      <c r="C105" s="74"/>
      <c r="D105" s="76"/>
      <c r="E105" s="76"/>
      <c r="F105" s="68">
        <f>F104*$F$5*$I$3</f>
        <v>3978300</v>
      </c>
      <c r="G105" s="76">
        <f>G104*$G$5*$I$3</f>
        <v>4961700</v>
      </c>
      <c r="H105" s="69">
        <f t="shared" si="1"/>
        <v>343846.1538461539</v>
      </c>
      <c r="I105" s="77"/>
    </row>
    <row r="106" spans="1:9" ht="24.75" customHeight="1">
      <c r="A106" s="74"/>
      <c r="B106" s="75"/>
      <c r="C106" s="74"/>
      <c r="D106" s="76"/>
      <c r="E106" s="76"/>
      <c r="F106" s="76"/>
      <c r="G106" s="76"/>
      <c r="H106" s="69">
        <f t="shared" si="1"/>
        <v>0</v>
      </c>
      <c r="I106" s="77"/>
    </row>
    <row r="107" spans="1:9" ht="24.75" customHeight="1">
      <c r="A107" s="74" t="s">
        <v>110</v>
      </c>
      <c r="B107" s="75" t="s">
        <v>93</v>
      </c>
      <c r="C107" s="74"/>
      <c r="D107" s="68"/>
      <c r="E107" s="68"/>
      <c r="F107" s="68">
        <v>1</v>
      </c>
      <c r="G107" s="76">
        <v>1</v>
      </c>
      <c r="H107" s="69">
        <f t="shared" si="1"/>
        <v>0.07692307692307693</v>
      </c>
      <c r="I107" s="74" t="s">
        <v>116</v>
      </c>
    </row>
    <row r="108" spans="1:9" ht="24.75" customHeight="1">
      <c r="A108" s="74"/>
      <c r="B108" s="75"/>
      <c r="C108" s="74"/>
      <c r="D108" s="76"/>
      <c r="E108" s="76"/>
      <c r="F108" s="68">
        <f>F107*$F$5*$I$3</f>
        <v>3978300</v>
      </c>
      <c r="G108" s="76">
        <f>G107*$G$5*$I$3</f>
        <v>4961700</v>
      </c>
      <c r="H108" s="69">
        <f t="shared" si="1"/>
        <v>343846.1538461539</v>
      </c>
      <c r="I108" s="81"/>
    </row>
    <row r="109" spans="1:9" ht="24.75" customHeight="1">
      <c r="A109" s="74"/>
      <c r="B109" s="75"/>
      <c r="C109" s="74"/>
      <c r="D109" s="76"/>
      <c r="E109" s="76"/>
      <c r="F109" s="76"/>
      <c r="G109" s="76"/>
      <c r="H109" s="69">
        <f t="shared" si="1"/>
        <v>0</v>
      </c>
      <c r="I109" s="81"/>
    </row>
    <row r="110" spans="1:9" ht="24.75" customHeight="1">
      <c r="A110" s="74" t="s">
        <v>111</v>
      </c>
      <c r="B110" s="75" t="s">
        <v>96</v>
      </c>
      <c r="C110" s="74"/>
      <c r="D110" s="68"/>
      <c r="E110" s="68"/>
      <c r="F110" s="68">
        <v>1</v>
      </c>
      <c r="G110" s="76">
        <v>1</v>
      </c>
      <c r="H110" s="69">
        <f t="shared" si="1"/>
        <v>0.07692307692307693</v>
      </c>
      <c r="I110" s="74" t="s">
        <v>116</v>
      </c>
    </row>
    <row r="111" spans="1:9" ht="24.75" customHeight="1">
      <c r="A111" s="74"/>
      <c r="B111" s="75"/>
      <c r="C111" s="74"/>
      <c r="D111" s="76"/>
      <c r="E111" s="76"/>
      <c r="F111" s="68">
        <f>F110*$F$5*$I$3</f>
        <v>3978300</v>
      </c>
      <c r="G111" s="76">
        <f>G110*$G$5*$I$3</f>
        <v>4961700</v>
      </c>
      <c r="H111" s="69">
        <f t="shared" si="1"/>
        <v>343846.1538461539</v>
      </c>
      <c r="I111" s="81"/>
    </row>
    <row r="112" spans="1:9" ht="24.75" customHeight="1">
      <c r="A112" s="74"/>
      <c r="B112" s="75"/>
      <c r="C112" s="74"/>
      <c r="D112" s="76"/>
      <c r="E112" s="76"/>
      <c r="F112" s="76"/>
      <c r="G112" s="76"/>
      <c r="H112" s="69">
        <f t="shared" si="1"/>
        <v>0</v>
      </c>
      <c r="I112" s="81"/>
    </row>
    <row r="113" spans="1:9" ht="41.25" customHeight="1">
      <c r="A113" s="74" t="s">
        <v>158</v>
      </c>
      <c r="B113" s="83" t="s">
        <v>119</v>
      </c>
      <c r="C113" s="84"/>
      <c r="D113" s="85"/>
      <c r="E113" s="76"/>
      <c r="F113" s="76"/>
      <c r="G113" s="76"/>
      <c r="H113" s="69">
        <f t="shared" si="1"/>
        <v>0</v>
      </c>
      <c r="I113" s="81"/>
    </row>
    <row r="114" spans="1:9" ht="24.75" customHeight="1">
      <c r="A114" s="74" t="s">
        <v>9</v>
      </c>
      <c r="B114" s="75" t="s">
        <v>121</v>
      </c>
      <c r="C114" s="74"/>
      <c r="D114" s="76"/>
      <c r="E114" s="76"/>
      <c r="F114" s="76"/>
      <c r="G114" s="76"/>
      <c r="H114" s="69">
        <f t="shared" si="1"/>
        <v>0</v>
      </c>
      <c r="I114" s="81"/>
    </row>
    <row r="115" spans="1:9" ht="24.75" customHeight="1">
      <c r="A115" s="74">
        <v>1</v>
      </c>
      <c r="B115" s="75" t="s">
        <v>120</v>
      </c>
      <c r="C115" s="74">
        <v>1</v>
      </c>
      <c r="D115" s="68"/>
      <c r="E115" s="68"/>
      <c r="F115" s="68">
        <v>1</v>
      </c>
      <c r="G115" s="76"/>
      <c r="H115" s="69">
        <f t="shared" si="1"/>
        <v>0.07692307692307693</v>
      </c>
      <c r="I115" s="85" t="s">
        <v>159</v>
      </c>
    </row>
    <row r="116" spans="1:9" ht="24.75" customHeight="1">
      <c r="A116" s="74"/>
      <c r="B116" s="75"/>
      <c r="C116" s="68">
        <f>C115*$C$5*$I$3</f>
        <v>2771400</v>
      </c>
      <c r="D116" s="85"/>
      <c r="E116" s="85"/>
      <c r="F116" s="68">
        <f>F115*$F$5*$I$3</f>
        <v>3978300</v>
      </c>
      <c r="G116" s="76"/>
      <c r="H116" s="69">
        <f t="shared" si="1"/>
        <v>259603.84615384616</v>
      </c>
      <c r="I116" s="86"/>
    </row>
    <row r="117" spans="1:9" ht="24.75" customHeight="1">
      <c r="A117" s="74"/>
      <c r="B117" s="75"/>
      <c r="C117" s="74"/>
      <c r="D117" s="85"/>
      <c r="E117" s="85"/>
      <c r="F117" s="76"/>
      <c r="G117" s="76"/>
      <c r="H117" s="69">
        <f t="shared" si="1"/>
        <v>0</v>
      </c>
      <c r="I117" s="86"/>
    </row>
    <row r="118" spans="1:9" ht="24.75" customHeight="1">
      <c r="A118" s="74">
        <v>2</v>
      </c>
      <c r="B118" s="75" t="s">
        <v>121</v>
      </c>
      <c r="C118" s="74"/>
      <c r="D118" s="68"/>
      <c r="E118" s="68"/>
      <c r="F118" s="68"/>
      <c r="G118" s="76"/>
      <c r="H118" s="69">
        <f t="shared" si="1"/>
        <v>0</v>
      </c>
      <c r="I118" s="85"/>
    </row>
    <row r="119" spans="1:9" ht="24.75" customHeight="1">
      <c r="A119" s="74"/>
      <c r="B119" s="75"/>
      <c r="C119" s="74"/>
      <c r="D119" s="76"/>
      <c r="E119" s="76"/>
      <c r="F119" s="68"/>
      <c r="G119" s="76"/>
      <c r="H119" s="69">
        <f t="shared" si="1"/>
        <v>0</v>
      </c>
      <c r="I119" s="81"/>
    </row>
    <row r="120" spans="1:9" ht="24.75" customHeight="1">
      <c r="A120" s="74"/>
      <c r="B120" s="75"/>
      <c r="C120" s="74"/>
      <c r="D120" s="76"/>
      <c r="E120" s="76"/>
      <c r="F120" s="76"/>
      <c r="G120" s="76"/>
      <c r="H120" s="69">
        <f t="shared" si="1"/>
        <v>0</v>
      </c>
      <c r="I120" s="81"/>
    </row>
    <row r="121" spans="1:9" ht="24.75" customHeight="1">
      <c r="A121" s="74" t="s">
        <v>13</v>
      </c>
      <c r="B121" s="75" t="s">
        <v>122</v>
      </c>
      <c r="C121" s="74"/>
      <c r="D121" s="68"/>
      <c r="E121" s="68"/>
      <c r="F121" s="68"/>
      <c r="G121" s="76"/>
      <c r="H121" s="69">
        <f t="shared" si="1"/>
        <v>0</v>
      </c>
      <c r="I121" s="85"/>
    </row>
    <row r="122" spans="1:9" ht="24.75" customHeight="1">
      <c r="A122" s="74"/>
      <c r="B122" s="75"/>
      <c r="C122" s="74"/>
      <c r="D122" s="76"/>
      <c r="E122" s="76"/>
      <c r="F122" s="68"/>
      <c r="G122" s="76"/>
      <c r="H122" s="69">
        <f t="shared" si="1"/>
        <v>0</v>
      </c>
      <c r="I122" s="77"/>
    </row>
    <row r="123" spans="1:9" ht="24.75" customHeight="1">
      <c r="A123" s="74"/>
      <c r="B123" s="75"/>
      <c r="C123" s="74"/>
      <c r="D123" s="76"/>
      <c r="E123" s="76"/>
      <c r="F123" s="76"/>
      <c r="G123" s="76"/>
      <c r="H123" s="69">
        <f t="shared" si="1"/>
        <v>0</v>
      </c>
      <c r="I123" s="77"/>
    </row>
    <row r="124" spans="1:9" ht="24.75" customHeight="1">
      <c r="A124" s="74" t="s">
        <v>40</v>
      </c>
      <c r="B124" s="75" t="s">
        <v>69</v>
      </c>
      <c r="C124" s="74">
        <v>1</v>
      </c>
      <c r="D124" s="68"/>
      <c r="E124" s="68"/>
      <c r="F124" s="68">
        <v>1</v>
      </c>
      <c r="G124" s="76"/>
      <c r="H124" s="69">
        <f t="shared" si="1"/>
        <v>0.07692307692307693</v>
      </c>
      <c r="I124" s="85" t="s">
        <v>159</v>
      </c>
    </row>
    <row r="125" spans="1:9" ht="24.75" customHeight="1">
      <c r="A125" s="74"/>
      <c r="B125" s="75"/>
      <c r="C125" s="68">
        <f>C124*$C$5*$I$3</f>
        <v>2771400</v>
      </c>
      <c r="D125" s="85"/>
      <c r="E125" s="85"/>
      <c r="F125" s="68">
        <f>F124*$F$5*$I$3</f>
        <v>3978300</v>
      </c>
      <c r="G125" s="76"/>
      <c r="H125" s="69">
        <f t="shared" si="1"/>
        <v>259603.84615384616</v>
      </c>
      <c r="I125" s="77"/>
    </row>
    <row r="126" spans="1:9" ht="24.75" customHeight="1">
      <c r="A126" s="74"/>
      <c r="B126" s="75"/>
      <c r="C126" s="74"/>
      <c r="D126" s="76"/>
      <c r="E126" s="76"/>
      <c r="F126" s="76"/>
      <c r="G126" s="76"/>
      <c r="H126" s="69">
        <f t="shared" si="1"/>
        <v>0</v>
      </c>
      <c r="I126" s="77"/>
    </row>
    <row r="127" spans="1:9" ht="24.75" customHeight="1">
      <c r="A127" s="74" t="s">
        <v>41</v>
      </c>
      <c r="B127" s="75" t="s">
        <v>123</v>
      </c>
      <c r="C127" s="74">
        <v>1</v>
      </c>
      <c r="D127" s="68"/>
      <c r="E127" s="68"/>
      <c r="F127" s="68">
        <v>1</v>
      </c>
      <c r="G127" s="76"/>
      <c r="H127" s="69">
        <f t="shared" si="1"/>
        <v>0.07692307692307693</v>
      </c>
      <c r="I127" s="85" t="s">
        <v>159</v>
      </c>
    </row>
    <row r="128" spans="1:9" ht="24.75" customHeight="1">
      <c r="A128" s="74"/>
      <c r="B128" s="75"/>
      <c r="C128" s="68">
        <f>C127*$C$5*$I$3</f>
        <v>2771400</v>
      </c>
      <c r="D128" s="85"/>
      <c r="E128" s="85"/>
      <c r="F128" s="68">
        <f>F127*$F$5*$I$3</f>
        <v>3978300</v>
      </c>
      <c r="G128" s="76"/>
      <c r="H128" s="69">
        <f t="shared" si="1"/>
        <v>259603.84615384616</v>
      </c>
      <c r="I128" s="81"/>
    </row>
    <row r="129" spans="1:9" ht="24.75" customHeight="1">
      <c r="A129" s="74"/>
      <c r="B129" s="75"/>
      <c r="C129" s="74"/>
      <c r="D129" s="76"/>
      <c r="E129" s="76"/>
      <c r="F129" s="76"/>
      <c r="G129" s="76"/>
      <c r="H129" s="69">
        <f t="shared" si="1"/>
        <v>0</v>
      </c>
      <c r="I129" s="81"/>
    </row>
    <row r="130" spans="1:9" ht="24.75" customHeight="1">
      <c r="A130" s="74" t="s">
        <v>124</v>
      </c>
      <c r="B130" s="75" t="s">
        <v>125</v>
      </c>
      <c r="C130" s="74">
        <v>1</v>
      </c>
      <c r="D130" s="68"/>
      <c r="E130" s="68"/>
      <c r="F130" s="68">
        <v>1</v>
      </c>
      <c r="G130" s="76"/>
      <c r="H130" s="69">
        <f t="shared" si="1"/>
        <v>0.07692307692307693</v>
      </c>
      <c r="I130" s="85" t="s">
        <v>159</v>
      </c>
    </row>
    <row r="131" spans="1:9" ht="24.75" customHeight="1">
      <c r="A131" s="74"/>
      <c r="B131" s="75"/>
      <c r="C131" s="68">
        <f>C130*$C$5*$I$3</f>
        <v>2771400</v>
      </c>
      <c r="D131" s="85"/>
      <c r="E131" s="85"/>
      <c r="F131" s="68">
        <f>F130*$F$5*$I$3</f>
        <v>3978300</v>
      </c>
      <c r="G131" s="76"/>
      <c r="H131" s="69">
        <f t="shared" si="1"/>
        <v>259603.84615384616</v>
      </c>
      <c r="I131" s="77"/>
    </row>
    <row r="132" spans="1:9" ht="24.75" customHeight="1">
      <c r="A132" s="74"/>
      <c r="B132" s="75"/>
      <c r="C132" s="74"/>
      <c r="D132" s="76"/>
      <c r="E132" s="76"/>
      <c r="F132" s="76"/>
      <c r="G132" s="76"/>
      <c r="H132" s="69">
        <f t="shared" si="1"/>
        <v>0</v>
      </c>
      <c r="I132" s="77"/>
    </row>
    <row r="133" spans="1:9" ht="24.75" customHeight="1">
      <c r="A133" s="74" t="s">
        <v>127</v>
      </c>
      <c r="B133" s="75" t="s">
        <v>128</v>
      </c>
      <c r="C133" s="74">
        <v>1</v>
      </c>
      <c r="D133" s="68"/>
      <c r="E133" s="68"/>
      <c r="F133" s="68">
        <v>1</v>
      </c>
      <c r="G133" s="76"/>
      <c r="H133" s="69">
        <f t="shared" si="1"/>
        <v>0.07692307692307693</v>
      </c>
      <c r="I133" s="85" t="s">
        <v>159</v>
      </c>
    </row>
    <row r="134" spans="1:9" ht="24.75" customHeight="1">
      <c r="A134" s="74"/>
      <c r="B134" s="75"/>
      <c r="C134" s="68">
        <f>C133*$C$5*$I$3</f>
        <v>2771400</v>
      </c>
      <c r="D134" s="85"/>
      <c r="E134" s="85"/>
      <c r="F134" s="68">
        <f>F133*$F$5*$I$3</f>
        <v>3978300</v>
      </c>
      <c r="G134" s="76"/>
      <c r="H134" s="69">
        <f t="shared" si="1"/>
        <v>259603.84615384616</v>
      </c>
      <c r="I134" s="77"/>
    </row>
    <row r="135" spans="1:9" ht="24.75" customHeight="1">
      <c r="A135" s="74"/>
      <c r="B135" s="75"/>
      <c r="C135" s="74"/>
      <c r="D135" s="76"/>
      <c r="E135" s="76"/>
      <c r="F135" s="76"/>
      <c r="G135" s="76"/>
      <c r="H135" s="69">
        <f t="shared" si="1"/>
        <v>0</v>
      </c>
      <c r="I135" s="77"/>
    </row>
    <row r="136" spans="1:9" ht="24.75" customHeight="1">
      <c r="A136" s="74" t="s">
        <v>129</v>
      </c>
      <c r="B136" s="75" t="s">
        <v>130</v>
      </c>
      <c r="C136" s="74">
        <v>1</v>
      </c>
      <c r="D136" s="68"/>
      <c r="E136" s="68"/>
      <c r="F136" s="68">
        <v>1</v>
      </c>
      <c r="G136" s="76"/>
      <c r="H136" s="69">
        <f t="shared" si="1"/>
        <v>0.07692307692307693</v>
      </c>
      <c r="I136" s="85" t="s">
        <v>159</v>
      </c>
    </row>
    <row r="137" spans="1:9" ht="24.75" customHeight="1">
      <c r="A137" s="74"/>
      <c r="B137" s="75"/>
      <c r="C137" s="68">
        <f>C136*$C$5*$I$3</f>
        <v>2771400</v>
      </c>
      <c r="D137" s="85"/>
      <c r="E137" s="85"/>
      <c r="F137" s="68">
        <f>F136*$F$5*$I$3</f>
        <v>3978300</v>
      </c>
      <c r="G137" s="76"/>
      <c r="H137" s="69">
        <f t="shared" si="1"/>
        <v>259603.84615384616</v>
      </c>
      <c r="I137" s="81"/>
    </row>
    <row r="138" spans="1:9" ht="24.75" customHeight="1">
      <c r="A138" s="74"/>
      <c r="B138" s="75"/>
      <c r="C138" s="74"/>
      <c r="D138" s="76"/>
      <c r="E138" s="76"/>
      <c r="F138" s="76"/>
      <c r="G138" s="76"/>
      <c r="H138" s="69">
        <f aca="true" t="shared" si="2" ref="H138:H201">SUM(C138:G138)/26</f>
        <v>0</v>
      </c>
      <c r="I138" s="81"/>
    </row>
    <row r="139" spans="1:9" ht="24.75" customHeight="1">
      <c r="A139" s="74" t="s">
        <v>131</v>
      </c>
      <c r="B139" s="75" t="s">
        <v>132</v>
      </c>
      <c r="C139" s="74">
        <v>1</v>
      </c>
      <c r="D139" s="68"/>
      <c r="E139" s="68"/>
      <c r="F139" s="68">
        <v>1</v>
      </c>
      <c r="G139" s="76"/>
      <c r="H139" s="69">
        <f t="shared" si="2"/>
        <v>0.07692307692307693</v>
      </c>
      <c r="I139" s="85" t="s">
        <v>159</v>
      </c>
    </row>
    <row r="140" spans="1:9" ht="24.75" customHeight="1">
      <c r="A140" s="74"/>
      <c r="B140" s="75"/>
      <c r="C140" s="68">
        <f>C139*$C$5*$I$3</f>
        <v>2771400</v>
      </c>
      <c r="D140" s="85"/>
      <c r="E140" s="85"/>
      <c r="F140" s="68">
        <f>F139*$F$5*$I$3</f>
        <v>3978300</v>
      </c>
      <c r="G140" s="76"/>
      <c r="H140" s="69">
        <f t="shared" si="2"/>
        <v>259603.84615384616</v>
      </c>
      <c r="I140" s="77"/>
    </row>
    <row r="141" spans="1:9" ht="24.75" customHeight="1">
      <c r="A141" s="74"/>
      <c r="B141" s="75"/>
      <c r="C141" s="74"/>
      <c r="D141" s="76"/>
      <c r="E141" s="76"/>
      <c r="F141" s="76"/>
      <c r="G141" s="76"/>
      <c r="H141" s="69">
        <f t="shared" si="2"/>
        <v>0</v>
      </c>
      <c r="I141" s="77"/>
    </row>
    <row r="142" spans="1:9" ht="24.75" customHeight="1">
      <c r="A142" s="74" t="s">
        <v>14</v>
      </c>
      <c r="B142" s="75" t="s">
        <v>134</v>
      </c>
      <c r="C142" s="74">
        <v>1</v>
      </c>
      <c r="D142" s="68"/>
      <c r="E142" s="68"/>
      <c r="F142" s="68">
        <v>1</v>
      </c>
      <c r="G142" s="76"/>
      <c r="H142" s="69">
        <f t="shared" si="2"/>
        <v>0.07692307692307693</v>
      </c>
      <c r="I142" s="85" t="s">
        <v>159</v>
      </c>
    </row>
    <row r="143" spans="1:9" ht="24.75" customHeight="1">
      <c r="A143" s="74"/>
      <c r="B143" s="75"/>
      <c r="C143" s="68">
        <f>C142*$C$5*$I$3</f>
        <v>2771400</v>
      </c>
      <c r="D143" s="85"/>
      <c r="E143" s="85"/>
      <c r="F143" s="68">
        <f>F142*$F$5*$I$3</f>
        <v>3978300</v>
      </c>
      <c r="G143" s="76"/>
      <c r="H143" s="69">
        <f t="shared" si="2"/>
        <v>259603.84615384616</v>
      </c>
      <c r="I143" s="77"/>
    </row>
    <row r="144" spans="1:9" ht="24.75" customHeight="1">
      <c r="A144" s="74"/>
      <c r="B144" s="75"/>
      <c r="C144" s="74"/>
      <c r="D144" s="76"/>
      <c r="E144" s="76"/>
      <c r="F144" s="76"/>
      <c r="G144" s="76"/>
      <c r="H144" s="69">
        <f t="shared" si="2"/>
        <v>0</v>
      </c>
      <c r="I144" s="77"/>
    </row>
    <row r="145" spans="1:9" ht="24.75" customHeight="1">
      <c r="A145" s="74" t="s">
        <v>135</v>
      </c>
      <c r="B145" s="75" t="s">
        <v>69</v>
      </c>
      <c r="C145" s="74">
        <v>1</v>
      </c>
      <c r="D145" s="68"/>
      <c r="E145" s="68"/>
      <c r="F145" s="68">
        <v>1</v>
      </c>
      <c r="G145" s="76"/>
      <c r="H145" s="69">
        <f t="shared" si="2"/>
        <v>0.07692307692307693</v>
      </c>
      <c r="I145" s="85" t="s">
        <v>159</v>
      </c>
    </row>
    <row r="146" spans="1:9" ht="24.75" customHeight="1">
      <c r="A146" s="74"/>
      <c r="B146" s="75"/>
      <c r="C146" s="68">
        <f>C145*$C$5*$I$3</f>
        <v>2771400</v>
      </c>
      <c r="D146" s="85"/>
      <c r="E146" s="85"/>
      <c r="F146" s="68">
        <f>F145*$F$5*$I$3</f>
        <v>3978300</v>
      </c>
      <c r="G146" s="76"/>
      <c r="H146" s="69">
        <f t="shared" si="2"/>
        <v>259603.84615384616</v>
      </c>
      <c r="I146" s="81"/>
    </row>
    <row r="147" spans="1:9" ht="24.75" customHeight="1">
      <c r="A147" s="74"/>
      <c r="B147" s="75"/>
      <c r="C147" s="74"/>
      <c r="D147" s="76"/>
      <c r="E147" s="76"/>
      <c r="F147" s="76"/>
      <c r="G147" s="76"/>
      <c r="H147" s="69">
        <f t="shared" si="2"/>
        <v>0</v>
      </c>
      <c r="I147" s="81"/>
    </row>
    <row r="148" spans="1:9" ht="24.75" customHeight="1">
      <c r="A148" s="74" t="s">
        <v>137</v>
      </c>
      <c r="B148" s="75" t="s">
        <v>123</v>
      </c>
      <c r="C148" s="74">
        <v>1</v>
      </c>
      <c r="D148" s="68"/>
      <c r="E148" s="68"/>
      <c r="F148" s="68">
        <v>1</v>
      </c>
      <c r="G148" s="76"/>
      <c r="H148" s="69">
        <f t="shared" si="2"/>
        <v>0.07692307692307693</v>
      </c>
      <c r="I148" s="85" t="s">
        <v>159</v>
      </c>
    </row>
    <row r="149" spans="1:9" ht="24.75" customHeight="1">
      <c r="A149" s="74"/>
      <c r="B149" s="75"/>
      <c r="C149" s="68">
        <f>C148*$C$5*$I$3</f>
        <v>2771400</v>
      </c>
      <c r="D149" s="85"/>
      <c r="E149" s="85"/>
      <c r="F149" s="68">
        <f>F148*$F$5*$I$3</f>
        <v>3978300</v>
      </c>
      <c r="G149" s="76"/>
      <c r="H149" s="69">
        <f t="shared" si="2"/>
        <v>259603.84615384616</v>
      </c>
      <c r="I149" s="77"/>
    </row>
    <row r="150" spans="1:9" ht="24.75" customHeight="1">
      <c r="A150" s="74"/>
      <c r="B150" s="75"/>
      <c r="C150" s="74"/>
      <c r="D150" s="76"/>
      <c r="E150" s="76"/>
      <c r="F150" s="76"/>
      <c r="G150" s="76"/>
      <c r="H150" s="69">
        <f t="shared" si="2"/>
        <v>0</v>
      </c>
      <c r="I150" s="77"/>
    </row>
    <row r="151" spans="1:9" ht="24.75" customHeight="1">
      <c r="A151" s="74" t="s">
        <v>138</v>
      </c>
      <c r="B151" s="75" t="s">
        <v>139</v>
      </c>
      <c r="C151" s="74">
        <v>1</v>
      </c>
      <c r="D151" s="68"/>
      <c r="E151" s="68"/>
      <c r="F151" s="68">
        <v>1</v>
      </c>
      <c r="G151" s="76"/>
      <c r="H151" s="69">
        <f t="shared" si="2"/>
        <v>0.07692307692307693</v>
      </c>
      <c r="I151" s="85" t="s">
        <v>159</v>
      </c>
    </row>
    <row r="152" spans="1:9" ht="24.75" customHeight="1">
      <c r="A152" s="74"/>
      <c r="B152" s="75"/>
      <c r="C152" s="68">
        <f>C151*$C$5*$I$3</f>
        <v>2771400</v>
      </c>
      <c r="D152" s="85"/>
      <c r="E152" s="85"/>
      <c r="F152" s="68">
        <f>F151*$F$5*$I$3</f>
        <v>3978300</v>
      </c>
      <c r="G152" s="76"/>
      <c r="H152" s="69">
        <f t="shared" si="2"/>
        <v>259603.84615384616</v>
      </c>
      <c r="I152" s="77"/>
    </row>
    <row r="153" spans="1:9" ht="24.75" customHeight="1">
      <c r="A153" s="74"/>
      <c r="B153" s="75"/>
      <c r="C153" s="74"/>
      <c r="D153" s="76"/>
      <c r="E153" s="76"/>
      <c r="F153" s="76"/>
      <c r="G153" s="76"/>
      <c r="H153" s="69">
        <f t="shared" si="2"/>
        <v>0</v>
      </c>
      <c r="I153" s="77"/>
    </row>
    <row r="154" spans="1:9" ht="24.75" customHeight="1">
      <c r="A154" s="74" t="s">
        <v>141</v>
      </c>
      <c r="B154" s="75" t="s">
        <v>142</v>
      </c>
      <c r="C154" s="74">
        <v>1</v>
      </c>
      <c r="D154" s="68"/>
      <c r="E154" s="68"/>
      <c r="F154" s="68">
        <v>1</v>
      </c>
      <c r="G154" s="76"/>
      <c r="H154" s="69">
        <f t="shared" si="2"/>
        <v>0.07692307692307693</v>
      </c>
      <c r="I154" s="85" t="s">
        <v>159</v>
      </c>
    </row>
    <row r="155" spans="1:9" ht="24.75" customHeight="1">
      <c r="A155" s="74"/>
      <c r="B155" s="75"/>
      <c r="C155" s="68">
        <f>C154*$C$5*$I$3</f>
        <v>2771400</v>
      </c>
      <c r="D155" s="85"/>
      <c r="E155" s="85"/>
      <c r="F155" s="68">
        <f>F154*$F$5*$I$3</f>
        <v>3978300</v>
      </c>
      <c r="G155" s="76"/>
      <c r="H155" s="69">
        <f t="shared" si="2"/>
        <v>259603.84615384616</v>
      </c>
      <c r="I155" s="81"/>
    </row>
    <row r="156" spans="1:9" ht="24.75" customHeight="1">
      <c r="A156" s="74"/>
      <c r="B156" s="75"/>
      <c r="C156" s="74"/>
      <c r="D156" s="76"/>
      <c r="E156" s="76"/>
      <c r="F156" s="76"/>
      <c r="G156" s="76"/>
      <c r="H156" s="69">
        <f t="shared" si="2"/>
        <v>0</v>
      </c>
      <c r="I156" s="81"/>
    </row>
    <row r="157" spans="1:9" ht="24.75" customHeight="1">
      <c r="A157" s="74" t="s">
        <v>144</v>
      </c>
      <c r="B157" s="75" t="s">
        <v>145</v>
      </c>
      <c r="C157" s="74">
        <v>1</v>
      </c>
      <c r="D157" s="68"/>
      <c r="E157" s="68"/>
      <c r="F157" s="68">
        <v>1</v>
      </c>
      <c r="G157" s="76"/>
      <c r="H157" s="69">
        <f t="shared" si="2"/>
        <v>0.07692307692307693</v>
      </c>
      <c r="I157" s="85" t="s">
        <v>159</v>
      </c>
    </row>
    <row r="158" spans="1:9" ht="24.75" customHeight="1">
      <c r="A158" s="74"/>
      <c r="B158" s="75"/>
      <c r="C158" s="68">
        <f>C157*$C$5*$I$3</f>
        <v>2771400</v>
      </c>
      <c r="D158" s="85"/>
      <c r="E158" s="85"/>
      <c r="F158" s="68">
        <f>F157*$F$5*$I$3</f>
        <v>3978300</v>
      </c>
      <c r="G158" s="76"/>
      <c r="H158" s="69">
        <f t="shared" si="2"/>
        <v>259603.84615384616</v>
      </c>
      <c r="I158" s="77"/>
    </row>
    <row r="159" spans="1:9" ht="24.75" customHeight="1">
      <c r="A159" s="74"/>
      <c r="B159" s="75"/>
      <c r="C159" s="74"/>
      <c r="D159" s="76"/>
      <c r="E159" s="76"/>
      <c r="F159" s="76"/>
      <c r="G159" s="76"/>
      <c r="H159" s="69">
        <f t="shared" si="2"/>
        <v>0</v>
      </c>
      <c r="I159" s="77"/>
    </row>
    <row r="160" spans="1:9" ht="24.75" customHeight="1">
      <c r="A160" s="74" t="s">
        <v>15</v>
      </c>
      <c r="B160" s="75" t="s">
        <v>146</v>
      </c>
      <c r="C160" s="74">
        <v>1</v>
      </c>
      <c r="D160" s="68"/>
      <c r="E160" s="68"/>
      <c r="F160" s="68">
        <v>1</v>
      </c>
      <c r="G160" s="76"/>
      <c r="H160" s="69">
        <f t="shared" si="2"/>
        <v>0.07692307692307693</v>
      </c>
      <c r="I160" s="85" t="s">
        <v>159</v>
      </c>
    </row>
    <row r="161" spans="1:9" ht="24.75" customHeight="1">
      <c r="A161" s="74"/>
      <c r="B161" s="75"/>
      <c r="C161" s="68">
        <f>C160*$C$5*$I$3</f>
        <v>2771400</v>
      </c>
      <c r="D161" s="85"/>
      <c r="E161" s="85"/>
      <c r="F161" s="68">
        <f>F160*$F$5*$I$3</f>
        <v>3978300</v>
      </c>
      <c r="G161" s="76"/>
      <c r="H161" s="69">
        <f t="shared" si="2"/>
        <v>259603.84615384616</v>
      </c>
      <c r="I161" s="79"/>
    </row>
    <row r="162" spans="1:9" ht="24.75" customHeight="1">
      <c r="A162" s="74"/>
      <c r="B162" s="75"/>
      <c r="C162" s="74"/>
      <c r="D162" s="76"/>
      <c r="E162" s="76"/>
      <c r="F162" s="76"/>
      <c r="G162" s="76"/>
      <c r="H162" s="69">
        <f t="shared" si="2"/>
        <v>0</v>
      </c>
      <c r="I162" s="79"/>
    </row>
    <row r="163" spans="1:9" ht="24.75" customHeight="1">
      <c r="A163" s="74" t="s">
        <v>42</v>
      </c>
      <c r="B163" s="75" t="s">
        <v>147</v>
      </c>
      <c r="C163" s="74">
        <v>1</v>
      </c>
      <c r="D163" s="68"/>
      <c r="E163" s="68"/>
      <c r="F163" s="68">
        <v>1</v>
      </c>
      <c r="G163" s="76"/>
      <c r="H163" s="69">
        <f t="shared" si="2"/>
        <v>0.07692307692307693</v>
      </c>
      <c r="I163" s="85" t="s">
        <v>159</v>
      </c>
    </row>
    <row r="164" spans="1:9" ht="24.75" customHeight="1">
      <c r="A164" s="74"/>
      <c r="B164" s="75"/>
      <c r="C164" s="68">
        <f>C163*$C$5*$I$3</f>
        <v>2771400</v>
      </c>
      <c r="D164" s="85"/>
      <c r="E164" s="85"/>
      <c r="F164" s="68">
        <f>F163*$F$5*$I$3</f>
        <v>3978300</v>
      </c>
      <c r="G164" s="76"/>
      <c r="H164" s="69">
        <f t="shared" si="2"/>
        <v>259603.84615384616</v>
      </c>
      <c r="I164" s="81"/>
    </row>
    <row r="165" spans="1:9" ht="24.75" customHeight="1">
      <c r="A165" s="74"/>
      <c r="B165" s="75"/>
      <c r="C165" s="74"/>
      <c r="D165" s="76"/>
      <c r="E165" s="76"/>
      <c r="F165" s="76"/>
      <c r="G165" s="76"/>
      <c r="H165" s="69">
        <f t="shared" si="2"/>
        <v>0</v>
      </c>
      <c r="I165" s="81"/>
    </row>
    <row r="166" spans="1:9" ht="24.75" customHeight="1">
      <c r="A166" s="74" t="s">
        <v>43</v>
      </c>
      <c r="B166" s="75" t="s">
        <v>149</v>
      </c>
      <c r="C166" s="74">
        <v>1</v>
      </c>
      <c r="D166" s="68"/>
      <c r="E166" s="68"/>
      <c r="F166" s="68">
        <v>1</v>
      </c>
      <c r="G166" s="76"/>
      <c r="H166" s="69">
        <f t="shared" si="2"/>
        <v>0.07692307692307693</v>
      </c>
      <c r="I166" s="85" t="s">
        <v>159</v>
      </c>
    </row>
    <row r="167" spans="1:9" ht="24.75" customHeight="1">
      <c r="A167" s="74"/>
      <c r="B167" s="75"/>
      <c r="C167" s="68">
        <f>C166*$C$5*$I$3</f>
        <v>2771400</v>
      </c>
      <c r="D167" s="85"/>
      <c r="E167" s="85"/>
      <c r="F167" s="68">
        <f>F166*$F$5*$I$3</f>
        <v>3978300</v>
      </c>
      <c r="G167" s="76"/>
      <c r="H167" s="69">
        <f t="shared" si="2"/>
        <v>259603.84615384616</v>
      </c>
      <c r="I167" s="77"/>
    </row>
    <row r="168" spans="1:9" ht="24.75" customHeight="1">
      <c r="A168" s="74"/>
      <c r="B168" s="75"/>
      <c r="C168" s="74"/>
      <c r="D168" s="76"/>
      <c r="E168" s="76"/>
      <c r="F168" s="76"/>
      <c r="G168" s="76"/>
      <c r="H168" s="69">
        <f t="shared" si="2"/>
        <v>0</v>
      </c>
      <c r="I168" s="77"/>
    </row>
    <row r="169" spans="1:9" ht="24.75" customHeight="1">
      <c r="A169" s="74" t="s">
        <v>44</v>
      </c>
      <c r="B169" s="75" t="s">
        <v>150</v>
      </c>
      <c r="C169" s="74">
        <v>1</v>
      </c>
      <c r="D169" s="68"/>
      <c r="E169" s="68"/>
      <c r="F169" s="68">
        <v>1</v>
      </c>
      <c r="G169" s="76"/>
      <c r="H169" s="69">
        <f t="shared" si="2"/>
        <v>0.07692307692307693</v>
      </c>
      <c r="I169" s="85" t="s">
        <v>159</v>
      </c>
    </row>
    <row r="170" spans="1:9" ht="24.75" customHeight="1">
      <c r="A170" s="74"/>
      <c r="B170" s="75"/>
      <c r="C170" s="68">
        <f>C169*$C$5*$I$3</f>
        <v>2771400</v>
      </c>
      <c r="D170" s="85"/>
      <c r="E170" s="85"/>
      <c r="F170" s="68">
        <f>F169*$F$5*$I$3</f>
        <v>3978300</v>
      </c>
      <c r="G170" s="76"/>
      <c r="H170" s="69">
        <f t="shared" si="2"/>
        <v>259603.84615384616</v>
      </c>
      <c r="I170" s="79"/>
    </row>
    <row r="171" spans="1:9" ht="24.75" customHeight="1">
      <c r="A171" s="74"/>
      <c r="B171" s="75"/>
      <c r="C171" s="74"/>
      <c r="D171" s="76"/>
      <c r="E171" s="76"/>
      <c r="F171" s="76"/>
      <c r="G171" s="76"/>
      <c r="H171" s="69">
        <f t="shared" si="2"/>
        <v>0</v>
      </c>
      <c r="I171" s="79"/>
    </row>
    <row r="172" spans="1:9" ht="24.75" customHeight="1">
      <c r="A172" s="74">
        <v>3</v>
      </c>
      <c r="B172" s="75" t="s">
        <v>151</v>
      </c>
      <c r="C172" s="74">
        <v>1</v>
      </c>
      <c r="D172" s="68"/>
      <c r="E172" s="68"/>
      <c r="F172" s="68">
        <v>1</v>
      </c>
      <c r="G172" s="76"/>
      <c r="H172" s="69">
        <f t="shared" si="2"/>
        <v>0.07692307692307693</v>
      </c>
      <c r="I172" s="85" t="s">
        <v>159</v>
      </c>
    </row>
    <row r="173" spans="1:9" ht="24.75" customHeight="1">
      <c r="A173" s="74"/>
      <c r="B173" s="75"/>
      <c r="C173" s="68">
        <f>C172*$C$5*$I$3</f>
        <v>2771400</v>
      </c>
      <c r="D173" s="85"/>
      <c r="E173" s="85"/>
      <c r="F173" s="68">
        <f>F172*$F$5*$I$3</f>
        <v>3978300</v>
      </c>
      <c r="G173" s="76"/>
      <c r="H173" s="69">
        <f t="shared" si="2"/>
        <v>259603.84615384616</v>
      </c>
      <c r="I173" s="79"/>
    </row>
    <row r="174" spans="1:9" ht="24.75" customHeight="1">
      <c r="A174" s="74"/>
      <c r="B174" s="75"/>
      <c r="C174" s="74"/>
      <c r="D174" s="76"/>
      <c r="E174" s="76"/>
      <c r="F174" s="76"/>
      <c r="G174" s="76"/>
      <c r="H174" s="69">
        <f t="shared" si="2"/>
        <v>0</v>
      </c>
      <c r="I174" s="79"/>
    </row>
    <row r="175" spans="1:9" ht="24.75" customHeight="1">
      <c r="A175" s="74" t="s">
        <v>10</v>
      </c>
      <c r="B175" s="75" t="s">
        <v>153</v>
      </c>
      <c r="C175" s="74"/>
      <c r="D175" s="68"/>
      <c r="E175" s="68"/>
      <c r="F175" s="68"/>
      <c r="G175" s="76"/>
      <c r="H175" s="69">
        <f t="shared" si="2"/>
        <v>0</v>
      </c>
      <c r="I175" s="85"/>
    </row>
    <row r="176" spans="1:9" ht="24.75" customHeight="1">
      <c r="A176" s="74"/>
      <c r="B176" s="75"/>
      <c r="C176" s="74"/>
      <c r="D176" s="76"/>
      <c r="E176" s="76"/>
      <c r="F176" s="68"/>
      <c r="G176" s="76"/>
      <c r="H176" s="69">
        <f t="shared" si="2"/>
        <v>0</v>
      </c>
      <c r="I176" s="77"/>
    </row>
    <row r="177" spans="1:9" ht="24.75" customHeight="1">
      <c r="A177" s="74"/>
      <c r="B177" s="75"/>
      <c r="C177" s="74"/>
      <c r="D177" s="76"/>
      <c r="E177" s="76"/>
      <c r="F177" s="76"/>
      <c r="G177" s="76"/>
      <c r="H177" s="69">
        <f t="shared" si="2"/>
        <v>0</v>
      </c>
      <c r="I177" s="77"/>
    </row>
    <row r="178" spans="1:9" ht="24.75" customHeight="1">
      <c r="A178" s="74">
        <v>1</v>
      </c>
      <c r="B178" s="75" t="s">
        <v>154</v>
      </c>
      <c r="C178" s="74">
        <v>1</v>
      </c>
      <c r="D178" s="68"/>
      <c r="E178" s="68"/>
      <c r="G178" s="438">
        <v>1</v>
      </c>
      <c r="H178" s="69">
        <f t="shared" si="2"/>
        <v>0.07692307692307693</v>
      </c>
      <c r="I178" s="85" t="s">
        <v>161</v>
      </c>
    </row>
    <row r="179" spans="1:9" ht="24.75" customHeight="1">
      <c r="A179" s="74"/>
      <c r="B179" s="75"/>
      <c r="C179" s="68">
        <f>C178*$C$5*$I$3</f>
        <v>2771400</v>
      </c>
      <c r="D179" s="76"/>
      <c r="E179" s="76"/>
      <c r="G179" s="438">
        <f>G178*$G$5*$I$3</f>
        <v>4961700</v>
      </c>
      <c r="H179" s="69">
        <f t="shared" si="2"/>
        <v>297426.92307692306</v>
      </c>
      <c r="I179" s="81"/>
    </row>
    <row r="180" spans="1:9" ht="24.75" customHeight="1">
      <c r="A180" s="74"/>
      <c r="B180" s="75"/>
      <c r="C180" s="74"/>
      <c r="D180" s="76"/>
      <c r="E180" s="76"/>
      <c r="G180" s="76"/>
      <c r="H180" s="69">
        <f t="shared" si="2"/>
        <v>0</v>
      </c>
      <c r="I180" s="81"/>
    </row>
    <row r="181" spans="1:9" ht="24.75" customHeight="1">
      <c r="A181" s="74">
        <v>2</v>
      </c>
      <c r="B181" s="75" t="s">
        <v>155</v>
      </c>
      <c r="C181" s="74">
        <v>1</v>
      </c>
      <c r="D181" s="68"/>
      <c r="E181" s="68"/>
      <c r="G181" s="68">
        <v>1</v>
      </c>
      <c r="H181" s="69">
        <f t="shared" si="2"/>
        <v>0.07692307692307693</v>
      </c>
      <c r="I181" s="85" t="s">
        <v>161</v>
      </c>
    </row>
    <row r="182" spans="1:9" ht="24.75" customHeight="1">
      <c r="A182" s="74"/>
      <c r="B182" s="75"/>
      <c r="C182" s="68">
        <f>C181*$C$5*$I$3</f>
        <v>2771400</v>
      </c>
      <c r="D182" s="76"/>
      <c r="E182" s="76"/>
      <c r="G182" s="438">
        <f>G181*$G$5*$I$3</f>
        <v>4961700</v>
      </c>
      <c r="H182" s="69">
        <f t="shared" si="2"/>
        <v>297426.92307692306</v>
      </c>
      <c r="I182" s="81"/>
    </row>
    <row r="183" spans="1:9" ht="24.75" customHeight="1">
      <c r="A183" s="74"/>
      <c r="B183" s="75"/>
      <c r="C183" s="74"/>
      <c r="D183" s="76"/>
      <c r="E183" s="76"/>
      <c r="F183" s="85"/>
      <c r="G183" s="76"/>
      <c r="H183" s="69">
        <f t="shared" si="2"/>
        <v>0</v>
      </c>
      <c r="I183" s="81"/>
    </row>
    <row r="184" spans="1:9" ht="24.75" customHeight="1">
      <c r="A184" s="74">
        <v>3</v>
      </c>
      <c r="B184" s="75" t="s">
        <v>156</v>
      </c>
      <c r="C184" s="74">
        <v>1</v>
      </c>
      <c r="D184" s="68"/>
      <c r="E184" s="68"/>
      <c r="F184" s="68">
        <v>1</v>
      </c>
      <c r="G184" s="76"/>
      <c r="H184" s="69">
        <f t="shared" si="2"/>
        <v>0.07692307692307693</v>
      </c>
      <c r="I184" s="85" t="s">
        <v>161</v>
      </c>
    </row>
    <row r="185" spans="1:9" ht="24.75" customHeight="1">
      <c r="A185" s="74"/>
      <c r="B185" s="75"/>
      <c r="C185" s="68">
        <f>C184*$C$5*$I$3</f>
        <v>2771400</v>
      </c>
      <c r="D185" s="76"/>
      <c r="E185" s="76"/>
      <c r="F185" s="68">
        <f>F184*$F$5*$I$3</f>
        <v>3978300</v>
      </c>
      <c r="G185" s="76"/>
      <c r="H185" s="69">
        <f t="shared" si="2"/>
        <v>259603.84615384616</v>
      </c>
      <c r="I185" s="77"/>
    </row>
    <row r="186" spans="1:9" ht="24.75" customHeight="1">
      <c r="A186" s="74"/>
      <c r="B186" s="75"/>
      <c r="C186" s="74"/>
      <c r="D186" s="76"/>
      <c r="E186" s="76"/>
      <c r="F186" s="85"/>
      <c r="G186" s="76"/>
      <c r="H186" s="69">
        <f t="shared" si="2"/>
        <v>0</v>
      </c>
      <c r="I186" s="77"/>
    </row>
    <row r="187" spans="1:9" ht="24.75" customHeight="1">
      <c r="A187" s="74">
        <v>4</v>
      </c>
      <c r="B187" s="75" t="s">
        <v>157</v>
      </c>
      <c r="C187" s="74">
        <v>1</v>
      </c>
      <c r="D187" s="68"/>
      <c r="E187" s="68"/>
      <c r="F187" s="68">
        <v>1</v>
      </c>
      <c r="G187" s="76"/>
      <c r="H187" s="69">
        <f t="shared" si="2"/>
        <v>0.07692307692307693</v>
      </c>
      <c r="I187" s="85" t="s">
        <v>161</v>
      </c>
    </row>
    <row r="188" spans="1:9" ht="24.75" customHeight="1">
      <c r="A188" s="74"/>
      <c r="B188" s="75"/>
      <c r="C188" s="68">
        <f>C187*$C$5*$I$3</f>
        <v>2771400</v>
      </c>
      <c r="D188" s="76"/>
      <c r="E188" s="76"/>
      <c r="F188" s="68">
        <f>F187*$F$5*$I$3</f>
        <v>3978300</v>
      </c>
      <c r="G188" s="76"/>
      <c r="H188" s="69">
        <f t="shared" si="2"/>
        <v>259603.84615384616</v>
      </c>
      <c r="I188" s="77"/>
    </row>
    <row r="189" spans="1:9" ht="24.75" customHeight="1">
      <c r="A189" s="74"/>
      <c r="B189" s="75"/>
      <c r="C189" s="74"/>
      <c r="D189" s="76"/>
      <c r="E189" s="76"/>
      <c r="F189" s="85"/>
      <c r="G189" s="76"/>
      <c r="H189" s="69">
        <f t="shared" si="2"/>
        <v>0</v>
      </c>
      <c r="I189" s="77"/>
    </row>
    <row r="190" spans="1:9" ht="24.75" customHeight="1">
      <c r="A190" s="85" t="s">
        <v>162</v>
      </c>
      <c r="B190" s="88" t="s">
        <v>163</v>
      </c>
      <c r="C190" s="89"/>
      <c r="D190" s="76"/>
      <c r="E190" s="76"/>
      <c r="F190" s="85"/>
      <c r="G190" s="76"/>
      <c r="H190" s="69">
        <f t="shared" si="2"/>
        <v>0</v>
      </c>
      <c r="I190" s="81"/>
    </row>
    <row r="191" spans="1:9" ht="24.75" customHeight="1">
      <c r="A191" s="74">
        <v>1</v>
      </c>
      <c r="B191" s="90" t="s">
        <v>164</v>
      </c>
      <c r="C191" s="74"/>
      <c r="D191" s="76"/>
      <c r="E191" s="76"/>
      <c r="F191" s="85"/>
      <c r="G191" s="76"/>
      <c r="H191" s="69">
        <f t="shared" si="2"/>
        <v>0</v>
      </c>
      <c r="I191" s="81"/>
    </row>
    <row r="192" spans="1:9" ht="24.75" customHeight="1">
      <c r="A192" s="74" t="s">
        <v>11</v>
      </c>
      <c r="B192" s="90" t="s">
        <v>165</v>
      </c>
      <c r="C192" s="74"/>
      <c r="D192" s="76">
        <v>2</v>
      </c>
      <c r="E192" s="76"/>
      <c r="F192" s="85"/>
      <c r="G192" s="76"/>
      <c r="H192" s="69">
        <f t="shared" si="2"/>
        <v>0.07692307692307693</v>
      </c>
      <c r="I192" s="85" t="s">
        <v>186</v>
      </c>
    </row>
    <row r="193" spans="1:9" ht="24.75" customHeight="1">
      <c r="A193" s="74"/>
      <c r="B193" s="90"/>
      <c r="C193" s="74"/>
      <c r="D193" s="68">
        <f>D192*$D$5*$I$3</f>
        <v>7330800</v>
      </c>
      <c r="E193" s="76"/>
      <c r="F193" s="85"/>
      <c r="G193" s="76"/>
      <c r="H193" s="69">
        <f t="shared" si="2"/>
        <v>281953.8461538461</v>
      </c>
      <c r="I193" s="77"/>
    </row>
    <row r="194" spans="1:9" ht="24.75" customHeight="1">
      <c r="A194" s="74"/>
      <c r="B194" s="90"/>
      <c r="C194" s="74"/>
      <c r="D194" s="76"/>
      <c r="E194" s="76"/>
      <c r="F194" s="85"/>
      <c r="G194" s="76"/>
      <c r="H194" s="69">
        <f t="shared" si="2"/>
        <v>0</v>
      </c>
      <c r="I194" s="77"/>
    </row>
    <row r="195" spans="1:9" ht="24.75" customHeight="1">
      <c r="A195" s="74" t="s">
        <v>12</v>
      </c>
      <c r="B195" s="90" t="s">
        <v>166</v>
      </c>
      <c r="C195" s="74"/>
      <c r="D195" s="76">
        <v>2</v>
      </c>
      <c r="E195" s="76"/>
      <c r="F195" s="85"/>
      <c r="G195" s="76"/>
      <c r="H195" s="69">
        <f t="shared" si="2"/>
        <v>0.07692307692307693</v>
      </c>
      <c r="I195" s="85" t="s">
        <v>186</v>
      </c>
    </row>
    <row r="196" spans="1:9" ht="24.75" customHeight="1">
      <c r="A196" s="74"/>
      <c r="B196" s="90"/>
      <c r="C196" s="74"/>
      <c r="D196" s="68">
        <f>D195*$D$5*$I$3</f>
        <v>7330800</v>
      </c>
      <c r="E196" s="76"/>
      <c r="F196" s="85"/>
      <c r="G196" s="76"/>
      <c r="H196" s="69">
        <f t="shared" si="2"/>
        <v>281953.8461538461</v>
      </c>
      <c r="I196" s="81"/>
    </row>
    <row r="197" spans="1:9" ht="24.75" customHeight="1">
      <c r="A197" s="74"/>
      <c r="B197" s="90"/>
      <c r="C197" s="74"/>
      <c r="D197" s="76"/>
      <c r="E197" s="76"/>
      <c r="F197" s="85"/>
      <c r="G197" s="76"/>
      <c r="H197" s="69">
        <f t="shared" si="2"/>
        <v>0</v>
      </c>
      <c r="I197" s="81"/>
    </row>
    <row r="198" spans="1:9" ht="24.75" customHeight="1">
      <c r="A198" s="74" t="s">
        <v>21</v>
      </c>
      <c r="B198" s="90" t="s">
        <v>69</v>
      </c>
      <c r="C198" s="74"/>
      <c r="D198" s="76">
        <v>2</v>
      </c>
      <c r="E198" s="76"/>
      <c r="F198" s="85"/>
      <c r="G198" s="76"/>
      <c r="H198" s="69">
        <f t="shared" si="2"/>
        <v>0.07692307692307693</v>
      </c>
      <c r="I198" s="85" t="s">
        <v>186</v>
      </c>
    </row>
    <row r="199" spans="1:9" ht="24.75" customHeight="1">
      <c r="A199" s="74"/>
      <c r="B199" s="90"/>
      <c r="C199" s="74"/>
      <c r="D199" s="68">
        <f>D198*$D$5*$I$3</f>
        <v>7330800</v>
      </c>
      <c r="E199" s="76"/>
      <c r="F199" s="85"/>
      <c r="G199" s="76"/>
      <c r="H199" s="69">
        <f t="shared" si="2"/>
        <v>281953.8461538461</v>
      </c>
      <c r="I199" s="77"/>
    </row>
    <row r="200" spans="1:9" ht="24.75" customHeight="1">
      <c r="A200" s="74"/>
      <c r="B200" s="90"/>
      <c r="C200" s="74"/>
      <c r="D200" s="76"/>
      <c r="E200" s="76"/>
      <c r="F200" s="85"/>
      <c r="G200" s="76"/>
      <c r="H200" s="69">
        <f t="shared" si="2"/>
        <v>0</v>
      </c>
      <c r="I200" s="77"/>
    </row>
    <row r="201" spans="1:9" ht="24.75" customHeight="1">
      <c r="A201" s="74" t="s">
        <v>23</v>
      </c>
      <c r="B201" s="90" t="s">
        <v>167</v>
      </c>
      <c r="C201" s="74"/>
      <c r="D201" s="76">
        <v>2</v>
      </c>
      <c r="E201" s="76"/>
      <c r="F201" s="85"/>
      <c r="G201" s="76"/>
      <c r="H201" s="69">
        <f t="shared" si="2"/>
        <v>0.07692307692307693</v>
      </c>
      <c r="I201" s="85" t="s">
        <v>186</v>
      </c>
    </row>
    <row r="202" spans="1:9" ht="24.75" customHeight="1">
      <c r="A202" s="74"/>
      <c r="B202" s="90"/>
      <c r="C202" s="74"/>
      <c r="D202" s="68">
        <f>D201*$D$5*$I$3</f>
        <v>7330800</v>
      </c>
      <c r="E202" s="76"/>
      <c r="F202" s="85"/>
      <c r="G202" s="76"/>
      <c r="H202" s="69">
        <f aca="true" t="shared" si="3" ref="H202:H250">SUM(C202:G202)/26</f>
        <v>281953.8461538461</v>
      </c>
      <c r="I202" s="77"/>
    </row>
    <row r="203" spans="1:9" ht="24.75" customHeight="1">
      <c r="A203" s="74"/>
      <c r="B203" s="90"/>
      <c r="C203" s="74"/>
      <c r="D203" s="76"/>
      <c r="E203" s="76"/>
      <c r="F203" s="85"/>
      <c r="G203" s="76"/>
      <c r="H203" s="69">
        <f t="shared" si="3"/>
        <v>0</v>
      </c>
      <c r="I203" s="77"/>
    </row>
    <row r="204" spans="1:9" ht="24.75" customHeight="1">
      <c r="A204" s="74" t="s">
        <v>24</v>
      </c>
      <c r="B204" s="90" t="s">
        <v>168</v>
      </c>
      <c r="C204" s="74"/>
      <c r="D204" s="76">
        <v>2</v>
      </c>
      <c r="E204" s="76"/>
      <c r="F204" s="85"/>
      <c r="G204" s="76"/>
      <c r="H204" s="69">
        <f t="shared" si="3"/>
        <v>0.07692307692307693</v>
      </c>
      <c r="I204" s="85" t="s">
        <v>186</v>
      </c>
    </row>
    <row r="205" spans="1:9" ht="24.75" customHeight="1">
      <c r="A205" s="74"/>
      <c r="B205" s="90"/>
      <c r="C205" s="74"/>
      <c r="D205" s="68">
        <f>D204*$D$5*$I$3</f>
        <v>7330800</v>
      </c>
      <c r="E205" s="76"/>
      <c r="F205" s="85"/>
      <c r="G205" s="76"/>
      <c r="H205" s="69">
        <f t="shared" si="3"/>
        <v>281953.8461538461</v>
      </c>
      <c r="I205" s="77"/>
    </row>
    <row r="206" spans="1:9" ht="24.75" customHeight="1">
      <c r="A206" s="74"/>
      <c r="B206" s="90"/>
      <c r="C206" s="74"/>
      <c r="D206" s="76"/>
      <c r="E206" s="76"/>
      <c r="F206" s="85"/>
      <c r="G206" s="76"/>
      <c r="H206" s="69">
        <f t="shared" si="3"/>
        <v>0</v>
      </c>
      <c r="I206" s="77"/>
    </row>
    <row r="207" spans="1:9" ht="24.75" customHeight="1">
      <c r="A207" s="74" t="s">
        <v>38</v>
      </c>
      <c r="B207" s="90" t="s">
        <v>169</v>
      </c>
      <c r="C207" s="74"/>
      <c r="D207" s="76">
        <v>2</v>
      </c>
      <c r="E207" s="76"/>
      <c r="F207" s="85"/>
      <c r="G207" s="76"/>
      <c r="H207" s="69">
        <f t="shared" si="3"/>
        <v>0.07692307692307693</v>
      </c>
      <c r="I207" s="85" t="s">
        <v>186</v>
      </c>
    </row>
    <row r="208" spans="1:9" ht="24.75" customHeight="1">
      <c r="A208" s="74"/>
      <c r="B208" s="90"/>
      <c r="C208" s="74"/>
      <c r="D208" s="68">
        <f>D207*$D$5*$I$3</f>
        <v>7330800</v>
      </c>
      <c r="E208" s="76"/>
      <c r="F208" s="85"/>
      <c r="G208" s="76"/>
      <c r="H208" s="69">
        <f t="shared" si="3"/>
        <v>281953.8461538461</v>
      </c>
      <c r="I208" s="81"/>
    </row>
    <row r="209" spans="1:9" ht="24.75" customHeight="1">
      <c r="A209" s="74"/>
      <c r="B209" s="90"/>
      <c r="C209" s="74"/>
      <c r="D209" s="76"/>
      <c r="E209" s="76"/>
      <c r="F209" s="85"/>
      <c r="G209" s="76"/>
      <c r="H209" s="69">
        <f t="shared" si="3"/>
        <v>0</v>
      </c>
      <c r="I209" s="81"/>
    </row>
    <row r="210" spans="1:9" ht="24.75" customHeight="1">
      <c r="A210" s="74" t="s">
        <v>39</v>
      </c>
      <c r="B210" s="90" t="s">
        <v>170</v>
      </c>
      <c r="C210" s="74"/>
      <c r="D210" s="76">
        <v>2</v>
      </c>
      <c r="E210" s="76"/>
      <c r="F210" s="85"/>
      <c r="G210" s="76"/>
      <c r="H210" s="69">
        <f t="shared" si="3"/>
        <v>0.07692307692307693</v>
      </c>
      <c r="I210" s="85" t="s">
        <v>186</v>
      </c>
    </row>
    <row r="211" spans="1:9" ht="24.75" customHeight="1">
      <c r="A211" s="74"/>
      <c r="B211" s="90"/>
      <c r="C211" s="74"/>
      <c r="D211" s="68">
        <f>D210*$D$5*$I$3</f>
        <v>7330800</v>
      </c>
      <c r="E211" s="76"/>
      <c r="F211" s="85"/>
      <c r="G211" s="76"/>
      <c r="H211" s="69">
        <f t="shared" si="3"/>
        <v>281953.8461538461</v>
      </c>
      <c r="I211" s="77"/>
    </row>
    <row r="212" spans="1:9" ht="24.75" customHeight="1">
      <c r="A212" s="74"/>
      <c r="B212" s="90"/>
      <c r="C212" s="74"/>
      <c r="D212" s="76"/>
      <c r="E212" s="76"/>
      <c r="F212" s="85"/>
      <c r="G212" s="76"/>
      <c r="H212" s="69">
        <f t="shared" si="3"/>
        <v>0</v>
      </c>
      <c r="I212" s="77"/>
    </row>
    <row r="213" spans="1:9" ht="24.75" customHeight="1">
      <c r="A213" s="74">
        <v>2</v>
      </c>
      <c r="B213" s="90" t="s">
        <v>171</v>
      </c>
      <c r="C213" s="74"/>
      <c r="D213" s="85"/>
      <c r="E213" s="76"/>
      <c r="F213" s="85"/>
      <c r="G213" s="76"/>
      <c r="H213" s="69">
        <f t="shared" si="3"/>
        <v>0</v>
      </c>
      <c r="I213" s="77"/>
    </row>
    <row r="214" spans="1:9" ht="24.75" customHeight="1">
      <c r="A214" s="74" t="s">
        <v>13</v>
      </c>
      <c r="B214" s="90" t="s">
        <v>172</v>
      </c>
      <c r="C214" s="74"/>
      <c r="D214" s="76">
        <v>2</v>
      </c>
      <c r="E214" s="85"/>
      <c r="F214" s="85"/>
      <c r="G214" s="76"/>
      <c r="H214" s="69">
        <f t="shared" si="3"/>
        <v>0.07692307692307693</v>
      </c>
      <c r="I214" s="85" t="s">
        <v>186</v>
      </c>
    </row>
    <row r="215" spans="1:9" ht="24.75" customHeight="1">
      <c r="A215" s="74"/>
      <c r="B215" s="90"/>
      <c r="C215" s="74"/>
      <c r="D215" s="68">
        <f>D214*$D$5*$I$3</f>
        <v>7330800</v>
      </c>
      <c r="E215" s="85"/>
      <c r="F215" s="85"/>
      <c r="G215" s="76"/>
      <c r="H215" s="69">
        <f t="shared" si="3"/>
        <v>281953.8461538461</v>
      </c>
      <c r="I215" s="81"/>
    </row>
    <row r="216" spans="1:9" ht="24.75" customHeight="1">
      <c r="A216" s="74"/>
      <c r="B216" s="90"/>
      <c r="C216" s="74"/>
      <c r="D216" s="85"/>
      <c r="E216" s="85"/>
      <c r="F216" s="85"/>
      <c r="G216" s="76"/>
      <c r="H216" s="69">
        <f t="shared" si="3"/>
        <v>0</v>
      </c>
      <c r="I216" s="81"/>
    </row>
    <row r="217" spans="1:9" ht="24.75" customHeight="1">
      <c r="A217" s="74" t="s">
        <v>14</v>
      </c>
      <c r="B217" s="90" t="s">
        <v>173</v>
      </c>
      <c r="C217" s="74"/>
      <c r="D217" s="76">
        <v>2</v>
      </c>
      <c r="E217" s="76"/>
      <c r="F217" s="85"/>
      <c r="G217" s="76"/>
      <c r="H217" s="69">
        <f t="shared" si="3"/>
        <v>0.07692307692307693</v>
      </c>
      <c r="I217" s="85" t="s">
        <v>186</v>
      </c>
    </row>
    <row r="218" spans="1:9" ht="24.75" customHeight="1">
      <c r="A218" s="74"/>
      <c r="B218" s="90"/>
      <c r="C218" s="74"/>
      <c r="D218" s="68">
        <f>D217*$D$5*$I$3</f>
        <v>7330800</v>
      </c>
      <c r="E218" s="76"/>
      <c r="F218" s="85"/>
      <c r="G218" s="76"/>
      <c r="H218" s="69">
        <f t="shared" si="3"/>
        <v>281953.8461538461</v>
      </c>
      <c r="I218" s="77"/>
    </row>
    <row r="219" spans="1:9" ht="24.75" customHeight="1">
      <c r="A219" s="74"/>
      <c r="B219" s="90"/>
      <c r="C219" s="74"/>
      <c r="D219" s="76"/>
      <c r="E219" s="76"/>
      <c r="F219" s="85"/>
      <c r="G219" s="76"/>
      <c r="H219" s="69">
        <f t="shared" si="3"/>
        <v>0</v>
      </c>
      <c r="I219" s="77"/>
    </row>
    <row r="220" spans="1:9" ht="24.75" customHeight="1">
      <c r="A220" s="74" t="s">
        <v>15</v>
      </c>
      <c r="B220" s="90" t="s">
        <v>174</v>
      </c>
      <c r="C220" s="74"/>
      <c r="D220" s="76">
        <v>2</v>
      </c>
      <c r="E220" s="76"/>
      <c r="F220" s="85"/>
      <c r="G220" s="76"/>
      <c r="H220" s="69">
        <f t="shared" si="3"/>
        <v>0.07692307692307693</v>
      </c>
      <c r="I220" s="85" t="s">
        <v>186</v>
      </c>
    </row>
    <row r="221" spans="1:9" ht="24.75" customHeight="1">
      <c r="A221" s="74"/>
      <c r="B221" s="90"/>
      <c r="C221" s="74"/>
      <c r="D221" s="68">
        <f>D220*$D$5*$I$3</f>
        <v>7330800</v>
      </c>
      <c r="E221" s="76"/>
      <c r="F221" s="85"/>
      <c r="G221" s="76"/>
      <c r="H221" s="69">
        <f t="shared" si="3"/>
        <v>281953.8461538461</v>
      </c>
      <c r="I221" s="77"/>
    </row>
    <row r="222" spans="1:9" ht="24.75" customHeight="1">
      <c r="A222" s="74"/>
      <c r="B222" s="90"/>
      <c r="C222" s="74"/>
      <c r="D222" s="76"/>
      <c r="E222" s="76"/>
      <c r="F222" s="85"/>
      <c r="G222" s="76"/>
      <c r="H222" s="69">
        <f t="shared" si="3"/>
        <v>0</v>
      </c>
      <c r="I222" s="77"/>
    </row>
    <row r="223" spans="1:9" ht="24.75" customHeight="1">
      <c r="A223" s="74" t="s">
        <v>25</v>
      </c>
      <c r="B223" s="90" t="s">
        <v>175</v>
      </c>
      <c r="C223" s="74"/>
      <c r="D223" s="76">
        <v>2</v>
      </c>
      <c r="E223" s="76"/>
      <c r="F223" s="85"/>
      <c r="G223" s="76"/>
      <c r="H223" s="69">
        <f t="shared" si="3"/>
        <v>0.07692307692307693</v>
      </c>
      <c r="I223" s="85" t="s">
        <v>186</v>
      </c>
    </row>
    <row r="224" spans="1:9" ht="24.75" customHeight="1">
      <c r="A224" s="74"/>
      <c r="B224" s="90"/>
      <c r="C224" s="74"/>
      <c r="D224" s="68">
        <f>D223*$D$5*$I$3</f>
        <v>7330800</v>
      </c>
      <c r="E224" s="76"/>
      <c r="F224" s="85"/>
      <c r="G224" s="76"/>
      <c r="H224" s="69">
        <f t="shared" si="3"/>
        <v>281953.8461538461</v>
      </c>
      <c r="I224" s="81"/>
    </row>
    <row r="225" spans="1:9" ht="24.75" customHeight="1">
      <c r="A225" s="74"/>
      <c r="B225" s="90"/>
      <c r="C225" s="74"/>
      <c r="D225" s="76"/>
      <c r="E225" s="76"/>
      <c r="F225" s="85"/>
      <c r="G225" s="76"/>
      <c r="H225" s="69">
        <f t="shared" si="3"/>
        <v>0</v>
      </c>
      <c r="I225" s="81"/>
    </row>
    <row r="226" spans="1:9" ht="24.75" customHeight="1">
      <c r="A226" s="74" t="s">
        <v>47</v>
      </c>
      <c r="B226" s="90" t="s">
        <v>177</v>
      </c>
      <c r="C226" s="74"/>
      <c r="D226" s="76">
        <v>2</v>
      </c>
      <c r="E226" s="76"/>
      <c r="F226" s="85"/>
      <c r="G226" s="76"/>
      <c r="H226" s="69">
        <f t="shared" si="3"/>
        <v>0.07692307692307693</v>
      </c>
      <c r="I226" s="85" t="s">
        <v>186</v>
      </c>
    </row>
    <row r="227" spans="1:9" ht="24.75" customHeight="1">
      <c r="A227" s="74"/>
      <c r="B227" s="90"/>
      <c r="C227" s="74"/>
      <c r="D227" s="68">
        <f>D226*$D$5*$I$3</f>
        <v>7330800</v>
      </c>
      <c r="E227" s="76"/>
      <c r="F227" s="85"/>
      <c r="G227" s="76"/>
      <c r="H227" s="69">
        <f t="shared" si="3"/>
        <v>281953.8461538461</v>
      </c>
      <c r="I227" s="77"/>
    </row>
    <row r="228" spans="1:9" ht="24.75" customHeight="1">
      <c r="A228" s="74"/>
      <c r="B228" s="90"/>
      <c r="C228" s="74"/>
      <c r="D228" s="76"/>
      <c r="E228" s="76"/>
      <c r="F228" s="85"/>
      <c r="G228" s="76"/>
      <c r="H228" s="69">
        <f t="shared" si="3"/>
        <v>0</v>
      </c>
      <c r="I228" s="77"/>
    </row>
    <row r="229" spans="1:9" ht="24.75" customHeight="1">
      <c r="A229" s="74" t="s">
        <v>53</v>
      </c>
      <c r="B229" s="90" t="s">
        <v>178</v>
      </c>
      <c r="C229" s="74"/>
      <c r="D229" s="76">
        <v>2</v>
      </c>
      <c r="E229" s="76"/>
      <c r="F229" s="85"/>
      <c r="G229" s="76"/>
      <c r="H229" s="69">
        <f t="shared" si="3"/>
        <v>0.07692307692307693</v>
      </c>
      <c r="I229" s="85" t="s">
        <v>186</v>
      </c>
    </row>
    <row r="230" spans="1:9" ht="24.75" customHeight="1">
      <c r="A230" s="74"/>
      <c r="B230" s="90"/>
      <c r="C230" s="74"/>
      <c r="D230" s="68">
        <f>D229*$D$5*$I$3</f>
        <v>7330800</v>
      </c>
      <c r="E230" s="76"/>
      <c r="F230" s="85"/>
      <c r="G230" s="76"/>
      <c r="H230" s="69">
        <f t="shared" si="3"/>
        <v>281953.8461538461</v>
      </c>
      <c r="I230" s="77"/>
    </row>
    <row r="231" spans="1:9" ht="24.75" customHeight="1">
      <c r="A231" s="74"/>
      <c r="B231" s="90"/>
      <c r="C231" s="74"/>
      <c r="D231" s="76"/>
      <c r="E231" s="76"/>
      <c r="F231" s="85"/>
      <c r="G231" s="76"/>
      <c r="H231" s="69">
        <f t="shared" si="3"/>
        <v>0</v>
      </c>
      <c r="I231" s="77"/>
    </row>
    <row r="232" spans="1:9" ht="24.75" customHeight="1">
      <c r="A232" s="74" t="s">
        <v>54</v>
      </c>
      <c r="B232" s="90" t="s">
        <v>179</v>
      </c>
      <c r="C232" s="74"/>
      <c r="D232" s="76">
        <v>2</v>
      </c>
      <c r="E232" s="76"/>
      <c r="F232" s="85"/>
      <c r="G232" s="76"/>
      <c r="H232" s="69">
        <f t="shared" si="3"/>
        <v>0.07692307692307693</v>
      </c>
      <c r="I232" s="85" t="s">
        <v>186</v>
      </c>
    </row>
    <row r="233" spans="1:9" ht="24.75" customHeight="1">
      <c r="A233" s="74"/>
      <c r="B233" s="90"/>
      <c r="C233" s="74"/>
      <c r="D233" s="68">
        <f>D232*$D$5*$I$3</f>
        <v>7330800</v>
      </c>
      <c r="E233" s="76"/>
      <c r="F233" s="85"/>
      <c r="G233" s="76"/>
      <c r="H233" s="69">
        <f t="shared" si="3"/>
        <v>281953.8461538461</v>
      </c>
      <c r="I233" s="77"/>
    </row>
    <row r="234" spans="1:9" ht="24.75" customHeight="1">
      <c r="A234" s="74"/>
      <c r="B234" s="90"/>
      <c r="C234" s="74"/>
      <c r="D234" s="76"/>
      <c r="E234" s="76"/>
      <c r="F234" s="85"/>
      <c r="G234" s="76"/>
      <c r="H234" s="69">
        <f t="shared" si="3"/>
        <v>0</v>
      </c>
      <c r="I234" s="77"/>
    </row>
    <row r="235" spans="1:9" ht="24.75" customHeight="1">
      <c r="A235" s="74">
        <v>3</v>
      </c>
      <c r="B235" s="90" t="s">
        <v>180</v>
      </c>
      <c r="C235" s="74"/>
      <c r="D235" s="76">
        <v>2</v>
      </c>
      <c r="E235" s="76"/>
      <c r="F235" s="85"/>
      <c r="G235" s="76"/>
      <c r="H235" s="69">
        <f t="shared" si="3"/>
        <v>0.07692307692307693</v>
      </c>
      <c r="I235" s="85" t="s">
        <v>186</v>
      </c>
    </row>
    <row r="236" spans="1:9" ht="24.75" customHeight="1">
      <c r="A236" s="74"/>
      <c r="B236" s="90"/>
      <c r="C236" s="74"/>
      <c r="D236" s="68">
        <f>D235*$D$5*$I$3</f>
        <v>7330800</v>
      </c>
      <c r="E236" s="76"/>
      <c r="F236" s="85"/>
      <c r="G236" s="76"/>
      <c r="H236" s="69">
        <f t="shared" si="3"/>
        <v>281953.8461538461</v>
      </c>
      <c r="I236" s="81"/>
    </row>
    <row r="237" spans="1:9" ht="24.75" customHeight="1">
      <c r="A237" s="74"/>
      <c r="B237" s="90"/>
      <c r="C237" s="74"/>
      <c r="D237" s="76"/>
      <c r="E237" s="76"/>
      <c r="F237" s="85"/>
      <c r="G237" s="76"/>
      <c r="H237" s="69">
        <f t="shared" si="3"/>
        <v>0</v>
      </c>
      <c r="I237" s="81"/>
    </row>
    <row r="238" spans="1:9" ht="24.75" customHeight="1">
      <c r="A238" s="74" t="s">
        <v>19</v>
      </c>
      <c r="B238" s="90" t="s">
        <v>181</v>
      </c>
      <c r="C238" s="74"/>
      <c r="D238" s="76">
        <v>2</v>
      </c>
      <c r="E238" s="76"/>
      <c r="F238" s="85"/>
      <c r="G238" s="76"/>
      <c r="H238" s="69">
        <f t="shared" si="3"/>
        <v>0.07692307692307693</v>
      </c>
      <c r="I238" s="85" t="s">
        <v>186</v>
      </c>
    </row>
    <row r="239" spans="1:9" ht="24.75" customHeight="1">
      <c r="A239" s="74"/>
      <c r="B239" s="90"/>
      <c r="C239" s="74"/>
      <c r="D239" s="68">
        <f>D238*$D$5*$I$3</f>
        <v>7330800</v>
      </c>
      <c r="E239" s="76"/>
      <c r="F239" s="85"/>
      <c r="G239" s="76"/>
      <c r="H239" s="69">
        <f t="shared" si="3"/>
        <v>281953.8461538461</v>
      </c>
      <c r="I239" s="77"/>
    </row>
    <row r="240" spans="1:9" ht="24.75" customHeight="1">
      <c r="A240" s="74"/>
      <c r="B240" s="90"/>
      <c r="C240" s="74"/>
      <c r="D240" s="76"/>
      <c r="E240" s="76"/>
      <c r="F240" s="85"/>
      <c r="G240" s="76"/>
      <c r="H240" s="69">
        <f t="shared" si="3"/>
        <v>0</v>
      </c>
      <c r="I240" s="77"/>
    </row>
    <row r="241" spans="1:9" ht="24.75" customHeight="1">
      <c r="A241" s="74" t="s">
        <v>20</v>
      </c>
      <c r="B241" s="90" t="s">
        <v>182</v>
      </c>
      <c r="C241" s="74"/>
      <c r="D241" s="76">
        <v>2</v>
      </c>
      <c r="E241" s="76"/>
      <c r="F241" s="85"/>
      <c r="G241" s="76"/>
      <c r="H241" s="69">
        <f t="shared" si="3"/>
        <v>0.07692307692307693</v>
      </c>
      <c r="I241" s="85" t="s">
        <v>186</v>
      </c>
    </row>
    <row r="242" spans="1:9" ht="24.75" customHeight="1">
      <c r="A242" s="74"/>
      <c r="B242" s="90"/>
      <c r="C242" s="74"/>
      <c r="D242" s="68">
        <f>D241*$D$5*$I$3</f>
        <v>7330800</v>
      </c>
      <c r="E242" s="76"/>
      <c r="F242" s="85"/>
      <c r="G242" s="76"/>
      <c r="H242" s="69">
        <f t="shared" si="3"/>
        <v>281953.8461538461</v>
      </c>
      <c r="I242" s="77"/>
    </row>
    <row r="243" spans="1:9" ht="24.75" customHeight="1">
      <c r="A243" s="74"/>
      <c r="B243" s="90"/>
      <c r="C243" s="74"/>
      <c r="D243" s="76"/>
      <c r="E243" s="76"/>
      <c r="F243" s="85"/>
      <c r="G243" s="76"/>
      <c r="H243" s="69">
        <f t="shared" si="3"/>
        <v>0</v>
      </c>
      <c r="I243" s="77"/>
    </row>
    <row r="244" spans="1:9" ht="24.75" customHeight="1">
      <c r="A244" s="74" t="s">
        <v>101</v>
      </c>
      <c r="B244" s="90" t="s">
        <v>183</v>
      </c>
      <c r="C244" s="74"/>
      <c r="D244" s="76">
        <v>2</v>
      </c>
      <c r="E244" s="76"/>
      <c r="F244" s="85"/>
      <c r="G244" s="76"/>
      <c r="H244" s="69">
        <f t="shared" si="3"/>
        <v>0.07692307692307693</v>
      </c>
      <c r="I244" s="85" t="s">
        <v>186</v>
      </c>
    </row>
    <row r="245" spans="1:9" ht="24.75" customHeight="1">
      <c r="A245" s="74"/>
      <c r="B245" s="90"/>
      <c r="C245" s="74"/>
      <c r="D245" s="68">
        <f>D244*$D$5*$I$3</f>
        <v>7330800</v>
      </c>
      <c r="E245" s="76"/>
      <c r="F245" s="85"/>
      <c r="G245" s="76"/>
      <c r="H245" s="69">
        <f t="shared" si="3"/>
        <v>281953.8461538461</v>
      </c>
      <c r="I245" s="81"/>
    </row>
    <row r="246" spans="1:9" ht="24.75" customHeight="1">
      <c r="A246" s="74"/>
      <c r="B246" s="90"/>
      <c r="C246" s="74"/>
      <c r="D246" s="76"/>
      <c r="E246" s="76"/>
      <c r="F246" s="85"/>
      <c r="G246" s="76"/>
      <c r="H246" s="69">
        <f t="shared" si="3"/>
        <v>0</v>
      </c>
      <c r="I246" s="81"/>
    </row>
    <row r="247" spans="1:9" ht="24.75" customHeight="1">
      <c r="A247" s="74" t="s">
        <v>74</v>
      </c>
      <c r="B247" s="90" t="s">
        <v>184</v>
      </c>
      <c r="C247" s="74"/>
      <c r="D247" s="76">
        <v>2</v>
      </c>
      <c r="E247" s="76"/>
      <c r="F247" s="85"/>
      <c r="G247" s="76"/>
      <c r="H247" s="69">
        <f t="shared" si="3"/>
        <v>0.07692307692307693</v>
      </c>
      <c r="I247" s="85" t="s">
        <v>186</v>
      </c>
    </row>
    <row r="248" spans="1:9" ht="24.75" customHeight="1">
      <c r="A248" s="74"/>
      <c r="B248" s="90"/>
      <c r="C248" s="74"/>
      <c r="D248" s="68">
        <f>D247*$D$5*$I$3</f>
        <v>7330800</v>
      </c>
      <c r="E248" s="76"/>
      <c r="F248" s="85"/>
      <c r="G248" s="76"/>
      <c r="H248" s="69">
        <f t="shared" si="3"/>
        <v>281953.8461538461</v>
      </c>
      <c r="I248" s="77"/>
    </row>
    <row r="249" spans="1:9" ht="24.75" customHeight="1">
      <c r="A249" s="74">
        <v>4</v>
      </c>
      <c r="B249" s="90" t="s">
        <v>185</v>
      </c>
      <c r="C249" s="74"/>
      <c r="D249" s="76">
        <v>2</v>
      </c>
      <c r="E249" s="76"/>
      <c r="F249" s="85"/>
      <c r="G249" s="76"/>
      <c r="H249" s="69">
        <f t="shared" si="3"/>
        <v>0.07692307692307693</v>
      </c>
      <c r="I249" s="85" t="s">
        <v>186</v>
      </c>
    </row>
    <row r="250" spans="1:9" ht="24.75" customHeight="1">
      <c r="A250" s="91"/>
      <c r="B250" s="92"/>
      <c r="C250" s="91"/>
      <c r="D250" s="68">
        <f>D249*$D$5*$I$3</f>
        <v>7330800</v>
      </c>
      <c r="E250" s="91"/>
      <c r="F250" s="91"/>
      <c r="G250" s="91"/>
      <c r="H250" s="69">
        <f t="shared" si="3"/>
        <v>281953.8461538461</v>
      </c>
      <c r="I250" s="92"/>
    </row>
    <row r="251" ht="24.75" customHeight="1"/>
  </sheetData>
  <sheetProtection/>
  <mergeCells count="2">
    <mergeCell ref="A1:I1"/>
    <mergeCell ref="A2:I2"/>
  </mergeCells>
  <printOptions/>
  <pageMargins left="1.02" right="0.19" top="0.37" bottom="0.27" header="0.17" footer="0.16"/>
  <pageSetup horizontalDpi="600" verticalDpi="600" orientation="landscape" paperSize="9" r:id="rId1"/>
  <headerFooter alignWithMargins="0"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4"/>
  <sheetViews>
    <sheetView zoomScale="120" zoomScaleNormal="120" zoomScalePageLayoutView="0" workbookViewId="0" topLeftCell="A1">
      <pane xSplit="2" ySplit="5" topLeftCell="C4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93" sqref="E93"/>
    </sheetView>
  </sheetViews>
  <sheetFormatPr defaultColWidth="9.140625" defaultRowHeight="12.75"/>
  <cols>
    <col min="1" max="1" width="6.57421875" style="3" customWidth="1"/>
    <col min="2" max="2" width="60.00390625" style="2" customWidth="1"/>
    <col min="3" max="3" width="26.421875" style="2" customWidth="1"/>
    <col min="4" max="4" width="12.57421875" style="2" customWidth="1"/>
    <col min="5" max="5" width="13.140625" style="5" customWidth="1"/>
    <col min="6" max="6" width="11.28125" style="5" customWidth="1"/>
    <col min="7" max="16384" width="9.140625" style="2" customWidth="1"/>
  </cols>
  <sheetData>
    <row r="1" spans="1:6" ht="14.25">
      <c r="A1" s="6" t="s">
        <v>79</v>
      </c>
      <c r="D1" s="7"/>
      <c r="E1" s="2"/>
      <c r="F1" s="2"/>
    </row>
    <row r="2" spans="1:6" ht="18.75" customHeight="1">
      <c r="A2" s="448" t="s">
        <v>80</v>
      </c>
      <c r="B2" s="448"/>
      <c r="C2" s="448"/>
      <c r="D2" s="448"/>
      <c r="E2" s="448"/>
      <c r="F2" s="2"/>
    </row>
    <row r="3" spans="2:4" ht="15.75">
      <c r="B3" s="4"/>
      <c r="C3" s="4"/>
      <c r="D3" s="4"/>
    </row>
    <row r="4" spans="1:6" s="1" customFormat="1" ht="47.25">
      <c r="A4" s="447" t="s">
        <v>2</v>
      </c>
      <c r="B4" s="447" t="s">
        <v>3</v>
      </c>
      <c r="C4" s="447" t="s">
        <v>6</v>
      </c>
      <c r="D4" s="10" t="s">
        <v>5</v>
      </c>
      <c r="E4" s="11" t="s">
        <v>591</v>
      </c>
      <c r="F4" s="24" t="s">
        <v>0</v>
      </c>
    </row>
    <row r="5" spans="1:6" s="1" customFormat="1" ht="33" customHeight="1">
      <c r="A5" s="447"/>
      <c r="B5" s="447"/>
      <c r="C5" s="447"/>
      <c r="D5" s="10" t="s">
        <v>7</v>
      </c>
      <c r="E5" s="444">
        <v>0.235</v>
      </c>
      <c r="F5" s="24" t="s">
        <v>8</v>
      </c>
    </row>
    <row r="6" spans="1:6" s="1" customFormat="1" ht="15.75">
      <c r="A6" s="12" t="s">
        <v>118</v>
      </c>
      <c r="B6" s="13" t="s">
        <v>190</v>
      </c>
      <c r="C6" s="14"/>
      <c r="D6" s="14"/>
      <c r="E6" s="25"/>
      <c r="F6" s="26"/>
    </row>
    <row r="7" spans="1:6" s="8" customFormat="1" ht="15.75">
      <c r="A7" s="27">
        <v>1</v>
      </c>
      <c r="B7" s="28" t="s">
        <v>82</v>
      </c>
      <c r="C7" s="29"/>
      <c r="D7" s="19"/>
      <c r="E7" s="30"/>
      <c r="F7" s="31"/>
    </row>
    <row r="8" spans="1:6" s="8" customFormat="1" ht="15.75">
      <c r="A8" s="15">
        <v>1</v>
      </c>
      <c r="B8" s="16" t="s">
        <v>82</v>
      </c>
      <c r="C8" s="15"/>
      <c r="D8" s="16"/>
      <c r="E8" s="30"/>
      <c r="F8" s="31"/>
    </row>
    <row r="9" spans="1:6" s="8" customFormat="1" ht="19.5" customHeight="1">
      <c r="A9" s="15" t="s">
        <v>11</v>
      </c>
      <c r="B9" s="16" t="s">
        <v>83</v>
      </c>
      <c r="C9" s="15" t="s">
        <v>113</v>
      </c>
      <c r="D9" s="32">
        <f>'LN1490-ND205'!H9</f>
        <v>428088.46153846156</v>
      </c>
      <c r="E9" s="33">
        <f aca="true" t="shared" si="0" ref="E9:E16">D9*$E$5</f>
        <v>100600.78846153847</v>
      </c>
      <c r="F9" s="34">
        <f>D9+E9</f>
        <v>528689.25</v>
      </c>
    </row>
    <row r="10" spans="1:6" s="8" customFormat="1" ht="19.5" customHeight="1">
      <c r="A10" s="15" t="s">
        <v>12</v>
      </c>
      <c r="B10" s="16" t="s">
        <v>85</v>
      </c>
      <c r="C10" s="15" t="s">
        <v>113</v>
      </c>
      <c r="D10" s="32">
        <f>'LN1490-ND205'!H12</f>
        <v>428088.46153846156</v>
      </c>
      <c r="E10" s="33">
        <f t="shared" si="0"/>
        <v>100600.78846153847</v>
      </c>
      <c r="F10" s="34">
        <f aca="true" t="shared" si="1" ref="F10:F43">D10+E10</f>
        <v>528689.25</v>
      </c>
    </row>
    <row r="11" spans="1:6" s="4" customFormat="1" ht="19.5" customHeight="1">
      <c r="A11" s="15" t="s">
        <v>21</v>
      </c>
      <c r="B11" s="16" t="s">
        <v>86</v>
      </c>
      <c r="C11" s="15" t="s">
        <v>113</v>
      </c>
      <c r="D11" s="32">
        <f>'LN1490-ND205'!H15</f>
        <v>428088.46153846156</v>
      </c>
      <c r="E11" s="33">
        <f t="shared" si="0"/>
        <v>100600.78846153847</v>
      </c>
      <c r="F11" s="34">
        <f t="shared" si="1"/>
        <v>528689.25</v>
      </c>
    </row>
    <row r="12" spans="1:6" s="4" customFormat="1" ht="19.5" customHeight="1">
      <c r="A12" s="15" t="s">
        <v>23</v>
      </c>
      <c r="B12" s="16" t="s">
        <v>88</v>
      </c>
      <c r="C12" s="15" t="s">
        <v>113</v>
      </c>
      <c r="D12" s="32">
        <f>'LN1490-ND205'!H18</f>
        <v>428088.46153846156</v>
      </c>
      <c r="E12" s="33">
        <f t="shared" si="0"/>
        <v>100600.78846153847</v>
      </c>
      <c r="F12" s="34">
        <f t="shared" si="1"/>
        <v>528689.25</v>
      </c>
    </row>
    <row r="13" spans="1:6" s="4" customFormat="1" ht="19.5" customHeight="1">
      <c r="A13" s="15" t="s">
        <v>24</v>
      </c>
      <c r="B13" s="16" t="s">
        <v>90</v>
      </c>
      <c r="C13" s="15" t="s">
        <v>113</v>
      </c>
      <c r="D13" s="32">
        <f>'LN1490-ND205'!H21</f>
        <v>428088.46153846156</v>
      </c>
      <c r="E13" s="33">
        <f t="shared" si="0"/>
        <v>100600.78846153847</v>
      </c>
      <c r="F13" s="34">
        <f t="shared" si="1"/>
        <v>528689.25</v>
      </c>
    </row>
    <row r="14" spans="1:6" s="4" customFormat="1" ht="19.5" customHeight="1">
      <c r="A14" s="15" t="s">
        <v>38</v>
      </c>
      <c r="B14" s="16" t="s">
        <v>92</v>
      </c>
      <c r="C14" s="15" t="s">
        <v>113</v>
      </c>
      <c r="D14" s="35">
        <f>'LN1490-ND205'!H24</f>
        <v>428088.46153846156</v>
      </c>
      <c r="E14" s="33">
        <f t="shared" si="0"/>
        <v>100600.78846153847</v>
      </c>
      <c r="F14" s="34">
        <f t="shared" si="1"/>
        <v>528689.25</v>
      </c>
    </row>
    <row r="15" spans="1:6" s="4" customFormat="1" ht="19.5" customHeight="1">
      <c r="A15" s="15" t="s">
        <v>39</v>
      </c>
      <c r="B15" s="16" t="s">
        <v>93</v>
      </c>
      <c r="C15" s="15" t="s">
        <v>113</v>
      </c>
      <c r="D15" s="35">
        <f>'LN1490-ND205'!H27</f>
        <v>428088.46153846156</v>
      </c>
      <c r="E15" s="33">
        <f t="shared" si="0"/>
        <v>100600.78846153847</v>
      </c>
      <c r="F15" s="34">
        <f t="shared" si="1"/>
        <v>528689.25</v>
      </c>
    </row>
    <row r="16" spans="1:6" s="4" customFormat="1" ht="19.5" customHeight="1">
      <c r="A16" s="15" t="s">
        <v>95</v>
      </c>
      <c r="B16" s="16" t="s">
        <v>96</v>
      </c>
      <c r="C16" s="15" t="s">
        <v>113</v>
      </c>
      <c r="D16" s="35">
        <f>'LN1490-ND205'!H30</f>
        <v>428088.46153846156</v>
      </c>
      <c r="E16" s="33">
        <f t="shared" si="0"/>
        <v>100600.78846153847</v>
      </c>
      <c r="F16" s="34">
        <f t="shared" si="1"/>
        <v>528689.25</v>
      </c>
    </row>
    <row r="17" spans="1:6" s="4" customFormat="1" ht="19.5" customHeight="1">
      <c r="A17" s="15">
        <v>2</v>
      </c>
      <c r="B17" s="16" t="s">
        <v>97</v>
      </c>
      <c r="C17" s="16"/>
      <c r="D17" s="36"/>
      <c r="E17" s="33"/>
      <c r="F17" s="34"/>
    </row>
    <row r="18" spans="1:6" s="4" customFormat="1" ht="19.5" customHeight="1">
      <c r="A18" s="15" t="s">
        <v>13</v>
      </c>
      <c r="B18" s="16" t="s">
        <v>83</v>
      </c>
      <c r="C18" s="15" t="s">
        <v>114</v>
      </c>
      <c r="D18" s="35">
        <f>'LN1490-ND205'!H36</f>
        <v>324934.6153846154</v>
      </c>
      <c r="E18" s="33">
        <f aca="true" t="shared" si="2" ref="E18:E25">D18*$E$5</f>
        <v>76359.63461538461</v>
      </c>
      <c r="F18" s="34">
        <f t="shared" si="1"/>
        <v>401294.25</v>
      </c>
    </row>
    <row r="19" spans="1:6" s="4" customFormat="1" ht="19.5" customHeight="1">
      <c r="A19" s="15" t="s">
        <v>14</v>
      </c>
      <c r="B19" s="16" t="s">
        <v>85</v>
      </c>
      <c r="C19" s="15" t="s">
        <v>114</v>
      </c>
      <c r="D19" s="35">
        <f>'LN1490-ND205'!H39</f>
        <v>324934.6153846154</v>
      </c>
      <c r="E19" s="33">
        <f t="shared" si="2"/>
        <v>76359.63461538461</v>
      </c>
      <c r="F19" s="34">
        <f t="shared" si="1"/>
        <v>401294.25</v>
      </c>
    </row>
    <row r="20" spans="1:6" s="4" customFormat="1" ht="19.5" customHeight="1">
      <c r="A20" s="15" t="s">
        <v>15</v>
      </c>
      <c r="B20" s="16" t="s">
        <v>86</v>
      </c>
      <c r="C20" s="15" t="s">
        <v>114</v>
      </c>
      <c r="D20" s="35">
        <f>'LN1490-ND205'!H42</f>
        <v>324934.6153846154</v>
      </c>
      <c r="E20" s="33">
        <f t="shared" si="2"/>
        <v>76359.63461538461</v>
      </c>
      <c r="F20" s="34">
        <f t="shared" si="1"/>
        <v>401294.25</v>
      </c>
    </row>
    <row r="21" spans="1:6" s="4" customFormat="1" ht="19.5" customHeight="1">
      <c r="A21" s="15" t="s">
        <v>25</v>
      </c>
      <c r="B21" s="16" t="s">
        <v>88</v>
      </c>
      <c r="C21" s="15" t="s">
        <v>114</v>
      </c>
      <c r="D21" s="35">
        <f>'LN1490-ND205'!H45</f>
        <v>324934.6153846154</v>
      </c>
      <c r="E21" s="33">
        <f t="shared" si="2"/>
        <v>76359.63461538461</v>
      </c>
      <c r="F21" s="34">
        <f t="shared" si="1"/>
        <v>401294.25</v>
      </c>
    </row>
    <row r="22" spans="1:6" s="4" customFormat="1" ht="19.5" customHeight="1">
      <c r="A22" s="15" t="s">
        <v>47</v>
      </c>
      <c r="B22" s="16" t="s">
        <v>90</v>
      </c>
      <c r="C22" s="15" t="s">
        <v>114</v>
      </c>
      <c r="D22" s="35">
        <f>'LN1490-ND205'!H48</f>
        <v>324934.6153846154</v>
      </c>
      <c r="E22" s="33">
        <f t="shared" si="2"/>
        <v>76359.63461538461</v>
      </c>
      <c r="F22" s="34">
        <f t="shared" si="1"/>
        <v>401294.25</v>
      </c>
    </row>
    <row r="23" spans="1:6" s="4" customFormat="1" ht="19.5" customHeight="1">
      <c r="A23" s="15" t="s">
        <v>53</v>
      </c>
      <c r="B23" s="16" t="s">
        <v>92</v>
      </c>
      <c r="C23" s="15" t="s">
        <v>114</v>
      </c>
      <c r="D23" s="35">
        <f>'LN1490-ND205'!H51</f>
        <v>324934.6153846154</v>
      </c>
      <c r="E23" s="33">
        <f t="shared" si="2"/>
        <v>76359.63461538461</v>
      </c>
      <c r="F23" s="34">
        <f t="shared" si="1"/>
        <v>401294.25</v>
      </c>
    </row>
    <row r="24" spans="1:6" s="4" customFormat="1" ht="19.5" customHeight="1">
      <c r="A24" s="15" t="s">
        <v>54</v>
      </c>
      <c r="B24" s="16" t="s">
        <v>93</v>
      </c>
      <c r="C24" s="15" t="s">
        <v>114</v>
      </c>
      <c r="D24" s="35">
        <f>'LN1490-ND205'!H54</f>
        <v>324934.6153846154</v>
      </c>
      <c r="E24" s="33">
        <f t="shared" si="2"/>
        <v>76359.63461538461</v>
      </c>
      <c r="F24" s="34">
        <f t="shared" si="1"/>
        <v>401294.25</v>
      </c>
    </row>
    <row r="25" spans="1:6" s="4" customFormat="1" ht="19.5" customHeight="1">
      <c r="A25" s="15" t="s">
        <v>99</v>
      </c>
      <c r="B25" s="16" t="s">
        <v>96</v>
      </c>
      <c r="C25" s="15" t="s">
        <v>114</v>
      </c>
      <c r="D25" s="35">
        <f>'LN1490-ND205'!H57</f>
        <v>324934.6153846154</v>
      </c>
      <c r="E25" s="33">
        <f t="shared" si="2"/>
        <v>76359.63461538461</v>
      </c>
      <c r="F25" s="34">
        <f t="shared" si="1"/>
        <v>401294.25</v>
      </c>
    </row>
    <row r="26" spans="1:6" s="4" customFormat="1" ht="19.5" customHeight="1">
      <c r="A26" s="15">
        <v>3</v>
      </c>
      <c r="B26" s="16" t="s">
        <v>100</v>
      </c>
      <c r="C26" s="16"/>
      <c r="D26" s="36"/>
      <c r="E26" s="33"/>
      <c r="F26" s="34"/>
    </row>
    <row r="27" spans="1:6" s="4" customFormat="1" ht="19.5" customHeight="1">
      <c r="A27" s="15" t="s">
        <v>19</v>
      </c>
      <c r="B27" s="16" t="s">
        <v>83</v>
      </c>
      <c r="C27" s="15" t="s">
        <v>115</v>
      </c>
      <c r="D27" s="35">
        <f>'LN1490-ND205'!H63</f>
        <v>722076.9230769231</v>
      </c>
      <c r="E27" s="33">
        <f aca="true" t="shared" si="3" ref="E27:E34">D27*$E$5</f>
        <v>169688.07692307694</v>
      </c>
      <c r="F27" s="34">
        <f t="shared" si="1"/>
        <v>891765</v>
      </c>
    </row>
    <row r="28" spans="1:6" s="4" customFormat="1" ht="19.5" customHeight="1">
      <c r="A28" s="15" t="s">
        <v>20</v>
      </c>
      <c r="B28" s="16" t="s">
        <v>85</v>
      </c>
      <c r="C28" s="15" t="s">
        <v>115</v>
      </c>
      <c r="D28" s="35">
        <f>'LN1490-ND205'!H66</f>
        <v>722076.9230769231</v>
      </c>
      <c r="E28" s="33">
        <f t="shared" si="3"/>
        <v>169688.07692307694</v>
      </c>
      <c r="F28" s="34">
        <f t="shared" si="1"/>
        <v>891765</v>
      </c>
    </row>
    <row r="29" spans="1:6" s="4" customFormat="1" ht="19.5" customHeight="1">
      <c r="A29" s="15" t="s">
        <v>101</v>
      </c>
      <c r="B29" s="16" t="s">
        <v>86</v>
      </c>
      <c r="C29" s="15" t="s">
        <v>115</v>
      </c>
      <c r="D29" s="35">
        <f>'LN1490-ND205'!H69</f>
        <v>722076.9230769231</v>
      </c>
      <c r="E29" s="33">
        <f t="shared" si="3"/>
        <v>169688.07692307694</v>
      </c>
      <c r="F29" s="34">
        <f t="shared" si="1"/>
        <v>891765</v>
      </c>
    </row>
    <row r="30" spans="1:6" s="4" customFormat="1" ht="19.5" customHeight="1">
      <c r="A30" s="15" t="s">
        <v>74</v>
      </c>
      <c r="B30" s="16" t="s">
        <v>102</v>
      </c>
      <c r="C30" s="15" t="s">
        <v>115</v>
      </c>
      <c r="D30" s="35">
        <f>'LN1490-ND205'!H72</f>
        <v>722076.9230769231</v>
      </c>
      <c r="E30" s="33">
        <f t="shared" si="3"/>
        <v>169688.07692307694</v>
      </c>
      <c r="F30" s="34">
        <f t="shared" si="1"/>
        <v>891765</v>
      </c>
    </row>
    <row r="31" spans="1:6" s="4" customFormat="1" ht="19.5" customHeight="1">
      <c r="A31" s="15" t="s">
        <v>75</v>
      </c>
      <c r="B31" s="16" t="s">
        <v>90</v>
      </c>
      <c r="C31" s="15" t="s">
        <v>115</v>
      </c>
      <c r="D31" s="35">
        <f>'LN1490-ND205'!H75</f>
        <v>722076.9230769231</v>
      </c>
      <c r="E31" s="33">
        <f t="shared" si="3"/>
        <v>169688.07692307694</v>
      </c>
      <c r="F31" s="34">
        <f t="shared" si="1"/>
        <v>891765</v>
      </c>
    </row>
    <row r="32" spans="1:6" s="4" customFormat="1" ht="19.5" customHeight="1">
      <c r="A32" s="15" t="s">
        <v>78</v>
      </c>
      <c r="B32" s="16" t="s">
        <v>92</v>
      </c>
      <c r="C32" s="15" t="s">
        <v>115</v>
      </c>
      <c r="D32" s="35">
        <f>'LN1490-ND205'!H78</f>
        <v>722076.9230769231</v>
      </c>
      <c r="E32" s="33">
        <f t="shared" si="3"/>
        <v>169688.07692307694</v>
      </c>
      <c r="F32" s="34">
        <f t="shared" si="1"/>
        <v>891765</v>
      </c>
    </row>
    <row r="33" spans="1:6" s="4" customFormat="1" ht="19.5" customHeight="1">
      <c r="A33" s="15" t="s">
        <v>77</v>
      </c>
      <c r="B33" s="16" t="s">
        <v>93</v>
      </c>
      <c r="C33" s="15" t="s">
        <v>115</v>
      </c>
      <c r="D33" s="35">
        <f>'LN1490-ND205'!H81</f>
        <v>722076.9230769231</v>
      </c>
      <c r="E33" s="33">
        <f t="shared" si="3"/>
        <v>169688.07692307694</v>
      </c>
      <c r="F33" s="34">
        <f t="shared" si="1"/>
        <v>891765</v>
      </c>
    </row>
    <row r="34" spans="1:6" s="4" customFormat="1" ht="19.5" customHeight="1">
      <c r="A34" s="15" t="s">
        <v>76</v>
      </c>
      <c r="B34" s="16" t="s">
        <v>96</v>
      </c>
      <c r="C34" s="15" t="s">
        <v>115</v>
      </c>
      <c r="D34" s="35">
        <f>'LN1490-ND205'!H84</f>
        <v>722076.9230769231</v>
      </c>
      <c r="E34" s="33">
        <f t="shared" si="3"/>
        <v>169688.07692307694</v>
      </c>
      <c r="F34" s="34">
        <f t="shared" si="1"/>
        <v>891765</v>
      </c>
    </row>
    <row r="35" spans="1:6" s="4" customFormat="1" ht="19.5" customHeight="1">
      <c r="A35" s="15">
        <v>4</v>
      </c>
      <c r="B35" s="16" t="s">
        <v>103</v>
      </c>
      <c r="C35" s="16"/>
      <c r="D35" s="36"/>
      <c r="E35" s="33"/>
      <c r="F35" s="34"/>
    </row>
    <row r="36" spans="1:6" s="4" customFormat="1" ht="19.5" customHeight="1">
      <c r="A36" s="15" t="s">
        <v>104</v>
      </c>
      <c r="B36" s="16" t="s">
        <v>83</v>
      </c>
      <c r="C36" s="15" t="s">
        <v>116</v>
      </c>
      <c r="D36" s="35">
        <f>'LN1490-ND205'!H90</f>
        <v>343846.1538461539</v>
      </c>
      <c r="E36" s="33">
        <f aca="true" t="shared" si="4" ref="E36:E43">D36*$E$5</f>
        <v>80803.84615384616</v>
      </c>
      <c r="F36" s="34">
        <f t="shared" si="1"/>
        <v>424650</v>
      </c>
    </row>
    <row r="37" spans="1:6" s="4" customFormat="1" ht="19.5" customHeight="1">
      <c r="A37" s="15" t="s">
        <v>105</v>
      </c>
      <c r="B37" s="16" t="s">
        <v>85</v>
      </c>
      <c r="C37" s="15" t="s">
        <v>116</v>
      </c>
      <c r="D37" s="35">
        <f>'LN1490-ND205'!H93</f>
        <v>343846.1538461539</v>
      </c>
      <c r="E37" s="33">
        <f t="shared" si="4"/>
        <v>80803.84615384616</v>
      </c>
      <c r="F37" s="34">
        <f t="shared" si="1"/>
        <v>424650</v>
      </c>
    </row>
    <row r="38" spans="1:6" s="4" customFormat="1" ht="19.5" customHeight="1">
      <c r="A38" s="15" t="s">
        <v>106</v>
      </c>
      <c r="B38" s="16" t="s">
        <v>86</v>
      </c>
      <c r="C38" s="15" t="s">
        <v>116</v>
      </c>
      <c r="D38" s="35">
        <f>'LN1490-ND205'!H96</f>
        <v>343846.1538461539</v>
      </c>
      <c r="E38" s="33">
        <f t="shared" si="4"/>
        <v>80803.84615384616</v>
      </c>
      <c r="F38" s="34">
        <f t="shared" si="1"/>
        <v>424650</v>
      </c>
    </row>
    <row r="39" spans="1:6" s="4" customFormat="1" ht="19.5" customHeight="1">
      <c r="A39" s="15" t="s">
        <v>107</v>
      </c>
      <c r="B39" s="16" t="s">
        <v>102</v>
      </c>
      <c r="C39" s="15" t="s">
        <v>116</v>
      </c>
      <c r="D39" s="35">
        <f>'LN1490-ND205'!H99</f>
        <v>343846.1538461539</v>
      </c>
      <c r="E39" s="33">
        <f t="shared" si="4"/>
        <v>80803.84615384616</v>
      </c>
      <c r="F39" s="34">
        <f t="shared" si="1"/>
        <v>424650</v>
      </c>
    </row>
    <row r="40" spans="1:6" s="4" customFormat="1" ht="19.5" customHeight="1">
      <c r="A40" s="15" t="s">
        <v>108</v>
      </c>
      <c r="B40" s="16" t="s">
        <v>90</v>
      </c>
      <c r="C40" s="15" t="s">
        <v>116</v>
      </c>
      <c r="D40" s="35">
        <f>'LN1490-ND205'!H102</f>
        <v>343846.1538461539</v>
      </c>
      <c r="E40" s="33">
        <f t="shared" si="4"/>
        <v>80803.84615384616</v>
      </c>
      <c r="F40" s="34">
        <f t="shared" si="1"/>
        <v>424650</v>
      </c>
    </row>
    <row r="41" spans="1:6" s="4" customFormat="1" ht="19.5" customHeight="1">
      <c r="A41" s="15" t="s">
        <v>109</v>
      </c>
      <c r="B41" s="16" t="s">
        <v>92</v>
      </c>
      <c r="C41" s="15" t="s">
        <v>116</v>
      </c>
      <c r="D41" s="35">
        <f>'LN1490-ND205'!H105</f>
        <v>343846.1538461539</v>
      </c>
      <c r="E41" s="33">
        <f t="shared" si="4"/>
        <v>80803.84615384616</v>
      </c>
      <c r="F41" s="34">
        <f t="shared" si="1"/>
        <v>424650</v>
      </c>
    </row>
    <row r="42" spans="1:6" s="4" customFormat="1" ht="19.5" customHeight="1">
      <c r="A42" s="15" t="s">
        <v>110</v>
      </c>
      <c r="B42" s="16" t="s">
        <v>93</v>
      </c>
      <c r="C42" s="15" t="s">
        <v>116</v>
      </c>
      <c r="D42" s="35">
        <f>'LN1490-ND205'!H108</f>
        <v>343846.1538461539</v>
      </c>
      <c r="E42" s="33">
        <f t="shared" si="4"/>
        <v>80803.84615384616</v>
      </c>
      <c r="F42" s="34">
        <f t="shared" si="1"/>
        <v>424650</v>
      </c>
    </row>
    <row r="43" spans="1:6" s="4" customFormat="1" ht="19.5" customHeight="1">
      <c r="A43" s="15" t="s">
        <v>111</v>
      </c>
      <c r="B43" s="16" t="s">
        <v>96</v>
      </c>
      <c r="C43" s="15" t="s">
        <v>116</v>
      </c>
      <c r="D43" s="35">
        <f>'LN1490-ND205'!H111</f>
        <v>343846.1538461539</v>
      </c>
      <c r="E43" s="33">
        <f t="shared" si="4"/>
        <v>80803.84615384616</v>
      </c>
      <c r="F43" s="34">
        <f t="shared" si="1"/>
        <v>424650</v>
      </c>
    </row>
    <row r="44" spans="1:6" s="4" customFormat="1" ht="19.5" customHeight="1">
      <c r="A44" s="15" t="s">
        <v>158</v>
      </c>
      <c r="B44" s="17" t="s">
        <v>119</v>
      </c>
      <c r="C44" s="15"/>
      <c r="D44" s="36"/>
      <c r="E44" s="33"/>
      <c r="F44" s="34"/>
    </row>
    <row r="45" spans="1:6" s="4" customFormat="1" ht="15.75">
      <c r="A45" s="15" t="s">
        <v>9</v>
      </c>
      <c r="B45" s="16" t="s">
        <v>121</v>
      </c>
      <c r="C45" s="15"/>
      <c r="D45" s="36"/>
      <c r="E45" s="33"/>
      <c r="F45" s="34"/>
    </row>
    <row r="46" spans="1:6" s="4" customFormat="1" ht="15.75">
      <c r="A46" s="15">
        <v>1</v>
      </c>
      <c r="B46" s="16" t="s">
        <v>120</v>
      </c>
      <c r="C46" s="18" t="s">
        <v>159</v>
      </c>
      <c r="D46" s="35">
        <f>'LN1490-ND205'!H116</f>
        <v>259603.84615384616</v>
      </c>
      <c r="E46" s="33">
        <f>D46*$E$5</f>
        <v>61006.903846153844</v>
      </c>
      <c r="F46" s="34">
        <f>D46+E46</f>
        <v>320610.75</v>
      </c>
    </row>
    <row r="47" spans="1:6" s="4" customFormat="1" ht="15.75">
      <c r="A47" s="15">
        <v>2</v>
      </c>
      <c r="B47" s="16" t="s">
        <v>121</v>
      </c>
      <c r="C47" s="18" t="s">
        <v>159</v>
      </c>
      <c r="D47" s="35">
        <f>'LN1490-ND205'!H119</f>
        <v>0</v>
      </c>
      <c r="E47" s="33">
        <f>D47*23%</f>
        <v>0</v>
      </c>
      <c r="F47" s="34"/>
    </row>
    <row r="48" spans="1:6" s="4" customFormat="1" ht="15.75">
      <c r="A48" s="15" t="s">
        <v>13</v>
      </c>
      <c r="B48" s="16" t="s">
        <v>122</v>
      </c>
      <c r="C48" s="18"/>
      <c r="D48" s="36"/>
      <c r="E48" s="33"/>
      <c r="F48" s="34"/>
    </row>
    <row r="49" spans="1:6" s="4" customFormat="1" ht="15.75">
      <c r="A49" s="15" t="s">
        <v>40</v>
      </c>
      <c r="B49" s="16" t="s">
        <v>69</v>
      </c>
      <c r="C49" s="18" t="s">
        <v>159</v>
      </c>
      <c r="D49" s="35">
        <f>'LN1490-ND205'!H125</f>
        <v>259603.84615384616</v>
      </c>
      <c r="E49" s="33">
        <f>D49*$E$5</f>
        <v>61006.903846153844</v>
      </c>
      <c r="F49" s="34">
        <f>D49+E49</f>
        <v>320610.75</v>
      </c>
    </row>
    <row r="50" spans="1:6" s="4" customFormat="1" ht="15.75">
      <c r="A50" s="15" t="s">
        <v>41</v>
      </c>
      <c r="B50" s="16" t="s">
        <v>123</v>
      </c>
      <c r="C50" s="18" t="s">
        <v>159</v>
      </c>
      <c r="D50" s="35">
        <f>'LN1490-ND205'!H128</f>
        <v>259603.84615384616</v>
      </c>
      <c r="E50" s="33">
        <f>D50*$E$5</f>
        <v>61006.903846153844</v>
      </c>
      <c r="F50" s="34">
        <f aca="true" t="shared" si="5" ref="F50:F70">D50+E50</f>
        <v>320610.75</v>
      </c>
    </row>
    <row r="51" spans="1:6" s="4" customFormat="1" ht="15.75">
      <c r="A51" s="15" t="s">
        <v>124</v>
      </c>
      <c r="B51" s="16" t="s">
        <v>125</v>
      </c>
      <c r="C51" s="18" t="s">
        <v>159</v>
      </c>
      <c r="D51" s="35">
        <f>'LN1490-ND205'!H131</f>
        <v>259603.84615384616</v>
      </c>
      <c r="E51" s="33">
        <f>D51*$E$5</f>
        <v>61006.903846153844</v>
      </c>
      <c r="F51" s="34">
        <f t="shared" si="5"/>
        <v>320610.75</v>
      </c>
    </row>
    <row r="52" spans="1:6" s="4" customFormat="1" ht="15.75">
      <c r="A52" s="15" t="s">
        <v>127</v>
      </c>
      <c r="B52" s="16" t="s">
        <v>128</v>
      </c>
      <c r="C52" s="18"/>
      <c r="D52" s="36"/>
      <c r="E52" s="33"/>
      <c r="F52" s="34"/>
    </row>
    <row r="53" spans="1:6" s="4" customFormat="1" ht="15.75">
      <c r="A53" s="15" t="s">
        <v>129</v>
      </c>
      <c r="B53" s="16" t="s">
        <v>130</v>
      </c>
      <c r="C53" s="18" t="s">
        <v>159</v>
      </c>
      <c r="D53" s="35">
        <f>'LN1490-ND205'!H137</f>
        <v>259603.84615384616</v>
      </c>
      <c r="E53" s="33">
        <f>D53*$E$5</f>
        <v>61006.903846153844</v>
      </c>
      <c r="F53" s="34">
        <f t="shared" si="5"/>
        <v>320610.75</v>
      </c>
    </row>
    <row r="54" spans="1:6" s="4" customFormat="1" ht="15.75">
      <c r="A54" s="15" t="s">
        <v>131</v>
      </c>
      <c r="B54" s="16" t="s">
        <v>132</v>
      </c>
      <c r="C54" s="18" t="s">
        <v>159</v>
      </c>
      <c r="D54" s="35">
        <f>'LN1490-ND205'!H140</f>
        <v>259603.84615384616</v>
      </c>
      <c r="E54" s="33">
        <f>D54*$E$5</f>
        <v>61006.903846153844</v>
      </c>
      <c r="F54" s="34">
        <f t="shared" si="5"/>
        <v>320610.75</v>
      </c>
    </row>
    <row r="55" spans="1:6" s="4" customFormat="1" ht="15.75">
      <c r="A55" s="15" t="s">
        <v>14</v>
      </c>
      <c r="B55" s="16" t="s">
        <v>134</v>
      </c>
      <c r="C55" s="18"/>
      <c r="D55" s="36"/>
      <c r="E55" s="33"/>
      <c r="F55" s="34"/>
    </row>
    <row r="56" spans="1:6" s="4" customFormat="1" ht="15.75">
      <c r="A56" s="15" t="s">
        <v>135</v>
      </c>
      <c r="B56" s="16" t="s">
        <v>69</v>
      </c>
      <c r="C56" s="18" t="s">
        <v>159</v>
      </c>
      <c r="D56" s="35">
        <f>'LN1490-ND205'!H146</f>
        <v>259603.84615384616</v>
      </c>
      <c r="E56" s="33">
        <f>D56*$E$5</f>
        <v>61006.903846153844</v>
      </c>
      <c r="F56" s="34">
        <f t="shared" si="5"/>
        <v>320610.75</v>
      </c>
    </row>
    <row r="57" spans="1:6" s="4" customFormat="1" ht="15.75">
      <c r="A57" s="15" t="s">
        <v>137</v>
      </c>
      <c r="B57" s="16" t="s">
        <v>123</v>
      </c>
      <c r="C57" s="18" t="s">
        <v>159</v>
      </c>
      <c r="D57" s="35">
        <f>'LN1490-ND205'!H149</f>
        <v>259603.84615384616</v>
      </c>
      <c r="E57" s="33">
        <f>D57*$E$5</f>
        <v>61006.903846153844</v>
      </c>
      <c r="F57" s="34">
        <f t="shared" si="5"/>
        <v>320610.75</v>
      </c>
    </row>
    <row r="58" spans="1:6" s="4" customFormat="1" ht="15.75">
      <c r="A58" s="15" t="s">
        <v>138</v>
      </c>
      <c r="B58" s="16" t="s">
        <v>139</v>
      </c>
      <c r="C58" s="18" t="s">
        <v>159</v>
      </c>
      <c r="D58" s="35">
        <f>'LN1490-ND205'!H152</f>
        <v>259603.84615384616</v>
      </c>
      <c r="E58" s="33">
        <f>D58*$E$5</f>
        <v>61006.903846153844</v>
      </c>
      <c r="F58" s="34">
        <f t="shared" si="5"/>
        <v>320610.75</v>
      </c>
    </row>
    <row r="59" spans="1:6" s="4" customFormat="1" ht="15.75">
      <c r="A59" s="15" t="s">
        <v>141</v>
      </c>
      <c r="B59" s="16" t="s">
        <v>142</v>
      </c>
      <c r="C59" s="18" t="s">
        <v>159</v>
      </c>
      <c r="D59" s="35">
        <f>'LN1490-ND205'!H155</f>
        <v>259603.84615384616</v>
      </c>
      <c r="E59" s="33">
        <f>D59*$E$5</f>
        <v>61006.903846153844</v>
      </c>
      <c r="F59" s="34">
        <f t="shared" si="5"/>
        <v>320610.75</v>
      </c>
    </row>
    <row r="60" spans="1:6" s="4" customFormat="1" ht="15.75">
      <c r="A60" s="15" t="s">
        <v>144</v>
      </c>
      <c r="B60" s="16" t="s">
        <v>145</v>
      </c>
      <c r="C60" s="18" t="s">
        <v>159</v>
      </c>
      <c r="D60" s="35">
        <f>'LN1490-ND205'!H158</f>
        <v>259603.84615384616</v>
      </c>
      <c r="E60" s="33">
        <f>D60*$E$5</f>
        <v>61006.903846153844</v>
      </c>
      <c r="F60" s="34">
        <f t="shared" si="5"/>
        <v>320610.75</v>
      </c>
    </row>
    <row r="61" spans="1:6" s="4" customFormat="1" ht="15.75">
      <c r="A61" s="15" t="s">
        <v>15</v>
      </c>
      <c r="B61" s="16" t="s">
        <v>146</v>
      </c>
      <c r="C61" s="18"/>
      <c r="D61" s="36"/>
      <c r="E61" s="33"/>
      <c r="F61" s="34"/>
    </row>
    <row r="62" spans="1:6" s="4" customFormat="1" ht="15.75">
      <c r="A62" s="15" t="s">
        <v>42</v>
      </c>
      <c r="B62" s="16" t="s">
        <v>147</v>
      </c>
      <c r="C62" s="18" t="s">
        <v>159</v>
      </c>
      <c r="D62" s="35">
        <f>'LN1490-ND205'!H164</f>
        <v>259603.84615384616</v>
      </c>
      <c r="E62" s="33">
        <f>D62*$E$5</f>
        <v>61006.903846153844</v>
      </c>
      <c r="F62" s="34">
        <f t="shared" si="5"/>
        <v>320610.75</v>
      </c>
    </row>
    <row r="63" spans="1:6" s="4" customFormat="1" ht="15.75">
      <c r="A63" s="15" t="s">
        <v>43</v>
      </c>
      <c r="B63" s="16" t="s">
        <v>149</v>
      </c>
      <c r="C63" s="18" t="s">
        <v>159</v>
      </c>
      <c r="D63" s="35">
        <f>'LN1490-ND205'!H173</f>
        <v>259603.84615384616</v>
      </c>
      <c r="E63" s="33">
        <f>D63*$E$5</f>
        <v>61006.903846153844</v>
      </c>
      <c r="F63" s="34">
        <f t="shared" si="5"/>
        <v>320610.75</v>
      </c>
    </row>
    <row r="64" spans="1:6" s="4" customFormat="1" ht="15.75">
      <c r="A64" s="15" t="s">
        <v>44</v>
      </c>
      <c r="B64" s="16" t="s">
        <v>150</v>
      </c>
      <c r="C64" s="18" t="s">
        <v>159</v>
      </c>
      <c r="D64" s="35">
        <f>'LN1490-ND205'!H167</f>
        <v>259603.84615384616</v>
      </c>
      <c r="E64" s="33">
        <f>D64*$E$5</f>
        <v>61006.903846153844</v>
      </c>
      <c r="F64" s="34">
        <f t="shared" si="5"/>
        <v>320610.75</v>
      </c>
    </row>
    <row r="65" spans="1:6" s="4" customFormat="1" ht="15.75">
      <c r="A65" s="15">
        <v>3</v>
      </c>
      <c r="B65" s="16" t="s">
        <v>151</v>
      </c>
      <c r="C65" s="18" t="s">
        <v>159</v>
      </c>
      <c r="D65" s="35">
        <f>'LN1490-ND205'!H170</f>
        <v>259603.84615384616</v>
      </c>
      <c r="E65" s="33">
        <f>D65*$E$5</f>
        <v>61006.903846153844</v>
      </c>
      <c r="F65" s="34">
        <f t="shared" si="5"/>
        <v>320610.75</v>
      </c>
    </row>
    <row r="66" spans="1:6" s="4" customFormat="1" ht="15.75">
      <c r="A66" s="15" t="s">
        <v>10</v>
      </c>
      <c r="B66" s="16" t="s">
        <v>153</v>
      </c>
      <c r="C66" s="18"/>
      <c r="D66" s="36"/>
      <c r="E66" s="33"/>
      <c r="F66" s="34"/>
    </row>
    <row r="67" spans="1:6" s="4" customFormat="1" ht="15.75">
      <c r="A67" s="15">
        <v>1</v>
      </c>
      <c r="B67" s="16" t="s">
        <v>154</v>
      </c>
      <c r="C67" s="432" t="s">
        <v>161</v>
      </c>
      <c r="D67" s="35">
        <f>'LN1490-ND205'!H179</f>
        <v>297426.92307692306</v>
      </c>
      <c r="E67" s="33">
        <f>D67*$E$5</f>
        <v>69895.32692307692</v>
      </c>
      <c r="F67" s="34">
        <f t="shared" si="5"/>
        <v>367322.25</v>
      </c>
    </row>
    <row r="68" spans="1:6" s="4" customFormat="1" ht="15.75">
      <c r="A68" s="15">
        <v>2</v>
      </c>
      <c r="B68" s="16" t="s">
        <v>155</v>
      </c>
      <c r="C68" s="432" t="s">
        <v>161</v>
      </c>
      <c r="D68" s="35">
        <f>'LN1490-ND205'!H182</f>
        <v>297426.92307692306</v>
      </c>
      <c r="E68" s="33">
        <f>D68*$E$5</f>
        <v>69895.32692307692</v>
      </c>
      <c r="F68" s="34">
        <f t="shared" si="5"/>
        <v>367322.25</v>
      </c>
    </row>
    <row r="69" spans="1:6" s="4" customFormat="1" ht="15.75">
      <c r="A69" s="15">
        <v>3</v>
      </c>
      <c r="B69" s="16" t="s">
        <v>156</v>
      </c>
      <c r="C69" s="432" t="s">
        <v>592</v>
      </c>
      <c r="D69" s="35">
        <f>'LN1490-ND205'!H185</f>
        <v>259603.84615384616</v>
      </c>
      <c r="E69" s="33">
        <f>D69*$E$5</f>
        <v>61006.903846153844</v>
      </c>
      <c r="F69" s="34">
        <f t="shared" si="5"/>
        <v>320610.75</v>
      </c>
    </row>
    <row r="70" spans="1:6" s="4" customFormat="1" ht="15.75">
      <c r="A70" s="15">
        <v>4</v>
      </c>
      <c r="B70" s="16" t="s">
        <v>157</v>
      </c>
      <c r="C70" s="432" t="s">
        <v>592</v>
      </c>
      <c r="D70" s="35">
        <f>'LN1490-ND205'!H188</f>
        <v>259603.84615384616</v>
      </c>
      <c r="E70" s="33">
        <f>D70*$E$5</f>
        <v>61006.903846153844</v>
      </c>
      <c r="F70" s="34">
        <f t="shared" si="5"/>
        <v>320610.75</v>
      </c>
    </row>
    <row r="71" spans="1:6" s="4" customFormat="1" ht="15.75">
      <c r="A71" s="18" t="s">
        <v>162</v>
      </c>
      <c r="B71" s="20" t="s">
        <v>163</v>
      </c>
      <c r="C71" s="18"/>
      <c r="D71" s="36"/>
      <c r="E71" s="33"/>
      <c r="F71" s="34"/>
    </row>
    <row r="72" spans="1:6" s="4" customFormat="1" ht="15.75">
      <c r="A72" s="15">
        <v>1</v>
      </c>
      <c r="B72" s="21" t="s">
        <v>164</v>
      </c>
      <c r="C72" s="18"/>
      <c r="D72" s="36"/>
      <c r="E72" s="33"/>
      <c r="F72" s="34"/>
    </row>
    <row r="73" spans="1:6" s="4" customFormat="1" ht="15.75">
      <c r="A73" s="15" t="s">
        <v>11</v>
      </c>
      <c r="B73" s="21" t="s">
        <v>165</v>
      </c>
      <c r="C73" s="18" t="s">
        <v>189</v>
      </c>
      <c r="D73" s="35">
        <f>'LN1490-ND205'!H193</f>
        <v>281953.8461538461</v>
      </c>
      <c r="E73" s="33">
        <f aca="true" t="shared" si="6" ref="E73:E79">D73*$E$5</f>
        <v>66259.15384615383</v>
      </c>
      <c r="F73" s="34">
        <f aca="true" t="shared" si="7" ref="F73:F93">D73+E73</f>
        <v>348212.99999999994</v>
      </c>
    </row>
    <row r="74" spans="1:6" s="4" customFormat="1" ht="15.75">
      <c r="A74" s="15" t="s">
        <v>12</v>
      </c>
      <c r="B74" s="21" t="s">
        <v>166</v>
      </c>
      <c r="C74" s="18" t="s">
        <v>189</v>
      </c>
      <c r="D74" s="35">
        <f>'LN1490-ND205'!H196</f>
        <v>281953.8461538461</v>
      </c>
      <c r="E74" s="33">
        <f t="shared" si="6"/>
        <v>66259.15384615383</v>
      </c>
      <c r="F74" s="34">
        <f t="shared" si="7"/>
        <v>348212.99999999994</v>
      </c>
    </row>
    <row r="75" spans="1:6" s="4" customFormat="1" ht="15.75">
      <c r="A75" s="15" t="s">
        <v>21</v>
      </c>
      <c r="B75" s="21" t="s">
        <v>69</v>
      </c>
      <c r="C75" s="18" t="s">
        <v>189</v>
      </c>
      <c r="D75" s="35">
        <f>'LN1490-ND205'!H199</f>
        <v>281953.8461538461</v>
      </c>
      <c r="E75" s="33">
        <f t="shared" si="6"/>
        <v>66259.15384615383</v>
      </c>
      <c r="F75" s="34">
        <f t="shared" si="7"/>
        <v>348212.99999999994</v>
      </c>
    </row>
    <row r="76" spans="1:6" s="4" customFormat="1" ht="15.75">
      <c r="A76" s="15" t="s">
        <v>23</v>
      </c>
      <c r="B76" s="21" t="s">
        <v>167</v>
      </c>
      <c r="C76" s="18" t="s">
        <v>189</v>
      </c>
      <c r="D76" s="35">
        <f>'LN1490-ND205'!H202</f>
        <v>281953.8461538461</v>
      </c>
      <c r="E76" s="33">
        <f t="shared" si="6"/>
        <v>66259.15384615383</v>
      </c>
      <c r="F76" s="34">
        <f t="shared" si="7"/>
        <v>348212.99999999994</v>
      </c>
    </row>
    <row r="77" spans="1:6" s="4" customFormat="1" ht="15.75">
      <c r="A77" s="15" t="s">
        <v>24</v>
      </c>
      <c r="B77" s="21" t="s">
        <v>168</v>
      </c>
      <c r="C77" s="18" t="s">
        <v>189</v>
      </c>
      <c r="D77" s="35">
        <f>'LN1490-ND205'!H208</f>
        <v>281953.8461538461</v>
      </c>
      <c r="E77" s="33">
        <f t="shared" si="6"/>
        <v>66259.15384615383</v>
      </c>
      <c r="F77" s="34">
        <f t="shared" si="7"/>
        <v>348212.99999999994</v>
      </c>
    </row>
    <row r="78" spans="1:6" s="4" customFormat="1" ht="15.75">
      <c r="A78" s="15" t="s">
        <v>38</v>
      </c>
      <c r="B78" s="21" t="s">
        <v>169</v>
      </c>
      <c r="C78" s="18" t="s">
        <v>189</v>
      </c>
      <c r="D78" s="35">
        <f>'LN1490-ND205'!H205</f>
        <v>281953.8461538461</v>
      </c>
      <c r="E78" s="33">
        <f t="shared" si="6"/>
        <v>66259.15384615383</v>
      </c>
      <c r="F78" s="34">
        <f t="shared" si="7"/>
        <v>348212.99999999994</v>
      </c>
    </row>
    <row r="79" spans="1:6" s="4" customFormat="1" ht="15.75">
      <c r="A79" s="15" t="s">
        <v>39</v>
      </c>
      <c r="B79" s="21" t="s">
        <v>170</v>
      </c>
      <c r="C79" s="18" t="s">
        <v>189</v>
      </c>
      <c r="D79" s="35">
        <f>'LN1490-ND205'!H208</f>
        <v>281953.8461538461</v>
      </c>
      <c r="E79" s="33">
        <f t="shared" si="6"/>
        <v>66259.15384615383</v>
      </c>
      <c r="F79" s="34">
        <f t="shared" si="7"/>
        <v>348212.99999999994</v>
      </c>
    </row>
    <row r="80" spans="1:6" s="4" customFormat="1" ht="15.75">
      <c r="A80" s="15">
        <v>2</v>
      </c>
      <c r="B80" s="21" t="s">
        <v>171</v>
      </c>
      <c r="C80" s="18"/>
      <c r="D80" s="36"/>
      <c r="E80" s="33"/>
      <c r="F80" s="34"/>
    </row>
    <row r="81" spans="1:6" s="4" customFormat="1" ht="15.75">
      <c r="A81" s="15" t="s">
        <v>13</v>
      </c>
      <c r="B81" s="21" t="s">
        <v>172</v>
      </c>
      <c r="C81" s="18" t="s">
        <v>189</v>
      </c>
      <c r="D81" s="35">
        <f>'LN1490-ND205'!H215</f>
        <v>281953.8461538461</v>
      </c>
      <c r="E81" s="33">
        <f aca="true" t="shared" si="8" ref="E81:E87">D81*$E$5</f>
        <v>66259.15384615383</v>
      </c>
      <c r="F81" s="34">
        <f t="shared" si="7"/>
        <v>348212.99999999994</v>
      </c>
    </row>
    <row r="82" spans="1:6" s="4" customFormat="1" ht="15.75">
      <c r="A82" s="15" t="s">
        <v>14</v>
      </c>
      <c r="B82" s="21" t="s">
        <v>173</v>
      </c>
      <c r="C82" s="18" t="s">
        <v>189</v>
      </c>
      <c r="D82" s="35">
        <f>'LN1490-ND205'!H218</f>
        <v>281953.8461538461</v>
      </c>
      <c r="E82" s="33">
        <f t="shared" si="8"/>
        <v>66259.15384615383</v>
      </c>
      <c r="F82" s="34">
        <f t="shared" si="7"/>
        <v>348212.99999999994</v>
      </c>
    </row>
    <row r="83" spans="1:6" s="4" customFormat="1" ht="15.75">
      <c r="A83" s="15" t="s">
        <v>15</v>
      </c>
      <c r="B83" s="21" t="s">
        <v>174</v>
      </c>
      <c r="C83" s="18" t="s">
        <v>189</v>
      </c>
      <c r="D83" s="35">
        <f>'LN1490-ND205'!H221</f>
        <v>281953.8461538461</v>
      </c>
      <c r="E83" s="33">
        <f t="shared" si="8"/>
        <v>66259.15384615383</v>
      </c>
      <c r="F83" s="34">
        <f t="shared" si="7"/>
        <v>348212.99999999994</v>
      </c>
    </row>
    <row r="84" spans="1:6" s="4" customFormat="1" ht="15.75">
      <c r="A84" s="15" t="s">
        <v>25</v>
      </c>
      <c r="B84" s="21" t="s">
        <v>175</v>
      </c>
      <c r="C84" s="18" t="s">
        <v>189</v>
      </c>
      <c r="D84" s="35">
        <f>'LN1490-ND205'!H224</f>
        <v>281953.8461538461</v>
      </c>
      <c r="E84" s="33">
        <f t="shared" si="8"/>
        <v>66259.15384615383</v>
      </c>
      <c r="F84" s="34">
        <f t="shared" si="7"/>
        <v>348212.99999999994</v>
      </c>
    </row>
    <row r="85" spans="1:6" s="4" customFormat="1" ht="15.75">
      <c r="A85" s="15" t="s">
        <v>47</v>
      </c>
      <c r="B85" s="21" t="s">
        <v>177</v>
      </c>
      <c r="C85" s="18" t="s">
        <v>189</v>
      </c>
      <c r="D85" s="35">
        <f>'LN1490-ND205'!H227</f>
        <v>281953.8461538461</v>
      </c>
      <c r="E85" s="33">
        <f t="shared" si="8"/>
        <v>66259.15384615383</v>
      </c>
      <c r="F85" s="34">
        <f t="shared" si="7"/>
        <v>348212.99999999994</v>
      </c>
    </row>
    <row r="86" spans="1:6" s="4" customFormat="1" ht="15.75">
      <c r="A86" s="15" t="s">
        <v>53</v>
      </c>
      <c r="B86" s="21" t="s">
        <v>178</v>
      </c>
      <c r="C86" s="18" t="s">
        <v>189</v>
      </c>
      <c r="D86" s="35">
        <f>'LN1490-ND205'!H227</f>
        <v>281953.8461538461</v>
      </c>
      <c r="E86" s="33">
        <f t="shared" si="8"/>
        <v>66259.15384615383</v>
      </c>
      <c r="F86" s="34">
        <f t="shared" si="7"/>
        <v>348212.99999999994</v>
      </c>
    </row>
    <row r="87" spans="1:6" s="4" customFormat="1" ht="15.75">
      <c r="A87" s="15" t="s">
        <v>54</v>
      </c>
      <c r="B87" s="21" t="s">
        <v>179</v>
      </c>
      <c r="C87" s="18" t="s">
        <v>189</v>
      </c>
      <c r="D87" s="35">
        <f>'LN1490-ND205'!H230</f>
        <v>281953.8461538461</v>
      </c>
      <c r="E87" s="33">
        <f t="shared" si="8"/>
        <v>66259.15384615383</v>
      </c>
      <c r="F87" s="34">
        <f t="shared" si="7"/>
        <v>348212.99999999994</v>
      </c>
    </row>
    <row r="88" spans="1:6" s="4" customFormat="1" ht="15.75">
      <c r="A88" s="15">
        <v>3</v>
      </c>
      <c r="B88" s="21" t="s">
        <v>180</v>
      </c>
      <c r="C88" s="18"/>
      <c r="D88" s="36"/>
      <c r="E88" s="33"/>
      <c r="F88" s="34"/>
    </row>
    <row r="89" spans="1:6" s="4" customFormat="1" ht="15.75">
      <c r="A89" s="15" t="s">
        <v>19</v>
      </c>
      <c r="B89" s="21" t="s">
        <v>181</v>
      </c>
      <c r="C89" s="18" t="s">
        <v>189</v>
      </c>
      <c r="D89" s="35">
        <f>'LN1490-ND205'!H239</f>
        <v>281953.8461538461</v>
      </c>
      <c r="E89" s="33">
        <f>D89*$E$5</f>
        <v>66259.15384615383</v>
      </c>
      <c r="F89" s="34">
        <f t="shared" si="7"/>
        <v>348212.99999999994</v>
      </c>
    </row>
    <row r="90" spans="1:6" s="4" customFormat="1" ht="15.75">
      <c r="A90" s="15" t="s">
        <v>20</v>
      </c>
      <c r="B90" s="21" t="s">
        <v>182</v>
      </c>
      <c r="C90" s="18" t="s">
        <v>189</v>
      </c>
      <c r="D90" s="35">
        <f>'LN1490-ND205'!H242</f>
        <v>281953.8461538461</v>
      </c>
      <c r="E90" s="33">
        <f>D90*$E$5</f>
        <v>66259.15384615383</v>
      </c>
      <c r="F90" s="34">
        <f t="shared" si="7"/>
        <v>348212.99999999994</v>
      </c>
    </row>
    <row r="91" spans="1:6" s="4" customFormat="1" ht="15.75">
      <c r="A91" s="15" t="s">
        <v>101</v>
      </c>
      <c r="B91" s="21" t="s">
        <v>183</v>
      </c>
      <c r="C91" s="18" t="s">
        <v>189</v>
      </c>
      <c r="D91" s="35">
        <f>'LN1490-ND205'!H245</f>
        <v>281953.8461538461</v>
      </c>
      <c r="E91" s="33">
        <f>D91*$E$5</f>
        <v>66259.15384615383</v>
      </c>
      <c r="F91" s="34">
        <f t="shared" si="7"/>
        <v>348212.99999999994</v>
      </c>
    </row>
    <row r="92" spans="1:6" s="4" customFormat="1" ht="15.75">
      <c r="A92" s="15" t="s">
        <v>74</v>
      </c>
      <c r="B92" s="21" t="s">
        <v>184</v>
      </c>
      <c r="C92" s="18" t="s">
        <v>189</v>
      </c>
      <c r="D92" s="35">
        <f>'LN1490-ND205'!H248</f>
        <v>281953.8461538461</v>
      </c>
      <c r="E92" s="33">
        <f>D92*$E$5</f>
        <v>66259.15384615383</v>
      </c>
      <c r="F92" s="34">
        <f t="shared" si="7"/>
        <v>348212.99999999994</v>
      </c>
    </row>
    <row r="93" spans="1:6" s="4" customFormat="1" ht="15.75">
      <c r="A93" s="37">
        <v>4</v>
      </c>
      <c r="B93" s="38" t="s">
        <v>185</v>
      </c>
      <c r="C93" s="22" t="s">
        <v>189</v>
      </c>
      <c r="D93" s="39">
        <f>'LN1490-ND205'!H250</f>
        <v>281953.8461538461</v>
      </c>
      <c r="E93" s="33">
        <f>D93*$E$5</f>
        <v>66259.15384615383</v>
      </c>
      <c r="F93" s="34">
        <f t="shared" si="7"/>
        <v>348212.99999999994</v>
      </c>
    </row>
    <row r="94" spans="1:6" s="4" customFormat="1" ht="15.75">
      <c r="A94" s="9"/>
      <c r="E94" s="23"/>
      <c r="F94" s="23"/>
    </row>
  </sheetData>
  <sheetProtection/>
  <mergeCells count="4">
    <mergeCell ref="A4:A5"/>
    <mergeCell ref="B4:B5"/>
    <mergeCell ref="C4:C5"/>
    <mergeCell ref="A2:E2"/>
  </mergeCells>
  <printOptions/>
  <pageMargins left="0.81" right="0.41" top="0.34" bottom="0.36" header="0.17" footer="0.16"/>
  <pageSetup horizontalDpi="600" verticalDpi="600" orientation="landscape" paperSize="9" r:id="rId1"/>
  <headerFooter alignWithMargins="0"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9" sqref="D9"/>
    </sheetView>
  </sheetViews>
  <sheetFormatPr defaultColWidth="9.140625" defaultRowHeight="19.5" customHeight="1"/>
  <cols>
    <col min="1" max="1" width="9.140625" style="136" customWidth="1"/>
    <col min="2" max="2" width="27.7109375" style="136" customWidth="1"/>
    <col min="3" max="4" width="9.140625" style="136" customWidth="1"/>
    <col min="5" max="5" width="12.00390625" style="136" customWidth="1"/>
    <col min="6" max="6" width="12.7109375" style="136" customWidth="1"/>
    <col min="7" max="16384" width="9.140625" style="136" customWidth="1"/>
  </cols>
  <sheetData>
    <row r="1" spans="1:8" ht="19.5" customHeight="1">
      <c r="A1" s="449" t="s">
        <v>243</v>
      </c>
      <c r="B1" s="449"/>
      <c r="C1" s="449"/>
      <c r="D1" s="449"/>
      <c r="E1" s="449"/>
      <c r="F1" s="449"/>
      <c r="G1" s="449"/>
      <c r="H1" s="449"/>
    </row>
    <row r="2" spans="1:8" ht="19.5" customHeight="1">
      <c r="A2" s="449" t="s">
        <v>540</v>
      </c>
      <c r="B2" s="449"/>
      <c r="C2" s="449"/>
      <c r="D2" s="449"/>
      <c r="E2" s="449"/>
      <c r="F2" s="449"/>
      <c r="G2" s="449"/>
      <c r="H2" s="449"/>
    </row>
    <row r="4" spans="1:6" ht="19.5" customHeight="1">
      <c r="A4" s="300" t="s">
        <v>238</v>
      </c>
      <c r="B4" s="300" t="s">
        <v>429</v>
      </c>
      <c r="C4" s="300" t="s">
        <v>192</v>
      </c>
      <c r="D4" s="391" t="s">
        <v>194</v>
      </c>
      <c r="E4" s="300" t="s">
        <v>245</v>
      </c>
      <c r="F4" s="392" t="s">
        <v>197</v>
      </c>
    </row>
    <row r="5" spans="1:6" ht="19.5" customHeight="1">
      <c r="A5" s="56">
        <v>1</v>
      </c>
      <c r="B5" s="57" t="s">
        <v>430</v>
      </c>
      <c r="C5" s="56" t="s">
        <v>431</v>
      </c>
      <c r="D5" s="197">
        <f>VLOOKUP(B5,Vatlieu_C_BSTL!$B$5:$D$15,3,0)</f>
        <v>3000</v>
      </c>
      <c r="E5" s="56">
        <v>1</v>
      </c>
      <c r="F5" s="155">
        <f>D5*E5</f>
        <v>3000</v>
      </c>
    </row>
    <row r="6" spans="1:6" ht="19.5" customHeight="1">
      <c r="A6" s="56">
        <v>2</v>
      </c>
      <c r="B6" s="59" t="s">
        <v>558</v>
      </c>
      <c r="C6" s="56" t="s">
        <v>431</v>
      </c>
      <c r="D6" s="197">
        <f>Vatlieu_C_BQK!D6</f>
        <v>3000</v>
      </c>
      <c r="E6" s="56">
        <v>3</v>
      </c>
      <c r="F6" s="155">
        <f aca="true" t="shared" si="0" ref="F6:F12">D6*E6</f>
        <v>9000</v>
      </c>
    </row>
    <row r="7" spans="1:6" ht="19.5" customHeight="1">
      <c r="A7" s="56">
        <v>3</v>
      </c>
      <c r="B7" s="59" t="s">
        <v>434</v>
      </c>
      <c r="C7" s="56" t="s">
        <v>435</v>
      </c>
      <c r="D7" s="197">
        <f>VLOOKUP(B7,Vatlieu_C_BSTL!$B$5:$D$15,3,0)</f>
        <v>80000</v>
      </c>
      <c r="E7" s="56">
        <v>3</v>
      </c>
      <c r="F7" s="155">
        <f t="shared" si="0"/>
        <v>240000</v>
      </c>
    </row>
    <row r="8" spans="1:6" ht="19.5" customHeight="1">
      <c r="A8" s="56">
        <v>4</v>
      </c>
      <c r="B8" s="57" t="s">
        <v>436</v>
      </c>
      <c r="C8" s="56" t="s">
        <v>437</v>
      </c>
      <c r="D8" s="197">
        <f>VLOOKUP(B8,Vatlieu_C_BSTL!$B$5:$D$15,3,0)</f>
        <v>19500</v>
      </c>
      <c r="E8" s="56">
        <v>3</v>
      </c>
      <c r="F8" s="155">
        <f t="shared" si="0"/>
        <v>58500</v>
      </c>
    </row>
    <row r="9" spans="1:6" ht="19.5" customHeight="1">
      <c r="A9" s="56">
        <v>5</v>
      </c>
      <c r="B9" s="57" t="s">
        <v>438</v>
      </c>
      <c r="C9" s="56" t="s">
        <v>431</v>
      </c>
      <c r="D9" s="197">
        <f>VLOOKUP(B9,Vatlieu_C_BSTL!$B$5:$D$15,3,0)</f>
        <v>1450000</v>
      </c>
      <c r="E9" s="56">
        <v>0.6</v>
      </c>
      <c r="F9" s="155">
        <f t="shared" si="0"/>
        <v>870000</v>
      </c>
    </row>
    <row r="10" spans="1:6" ht="19.5" customHeight="1">
      <c r="A10" s="56">
        <v>6</v>
      </c>
      <c r="B10" s="57" t="s">
        <v>439</v>
      </c>
      <c r="C10" s="56" t="s">
        <v>431</v>
      </c>
      <c r="D10" s="197">
        <f>VLOOKUP(B10,Vatlieu_C_BSTL!$B$5:$D$15,3,0)</f>
        <v>1477300</v>
      </c>
      <c r="E10" s="56">
        <v>0.1</v>
      </c>
      <c r="F10" s="155">
        <f t="shared" si="0"/>
        <v>147730</v>
      </c>
    </row>
    <row r="11" spans="1:6" ht="19.5" customHeight="1">
      <c r="A11" s="56">
        <v>7</v>
      </c>
      <c r="B11" s="57" t="s">
        <v>446</v>
      </c>
      <c r="C11" s="56" t="s">
        <v>431</v>
      </c>
      <c r="D11" s="197">
        <f>VLOOKUP(B11,Vatlieu_C_BSTL!$B$5:$D$15,3,0)</f>
        <v>13000</v>
      </c>
      <c r="E11" s="56">
        <v>0.1</v>
      </c>
      <c r="F11" s="155">
        <f t="shared" si="0"/>
        <v>1300</v>
      </c>
    </row>
    <row r="12" spans="1:6" ht="19.5" customHeight="1">
      <c r="A12" s="56">
        <v>8</v>
      </c>
      <c r="B12" s="57" t="s">
        <v>208</v>
      </c>
      <c r="C12" s="56" t="s">
        <v>199</v>
      </c>
      <c r="D12" s="197">
        <f>VLOOKUP(B12,Vatlieu_C_BSTL!$B$5:$D$15,3,0)</f>
        <v>8000</v>
      </c>
      <c r="E12" s="56">
        <v>2</v>
      </c>
      <c r="F12" s="155">
        <f t="shared" si="0"/>
        <v>16000</v>
      </c>
    </row>
    <row r="13" spans="1:6" ht="19.5" customHeight="1">
      <c r="A13" s="357"/>
      <c r="B13" s="393" t="s">
        <v>451</v>
      </c>
      <c r="C13" s="357"/>
      <c r="D13" s="357"/>
      <c r="E13" s="357"/>
      <c r="F13" s="284">
        <f>SUM(F5:F12)*1.08</f>
        <v>1453172.4000000001</v>
      </c>
    </row>
    <row r="16" spans="1:5" ht="19.5" customHeight="1">
      <c r="A16" s="133" t="s">
        <v>238</v>
      </c>
      <c r="B16" s="133" t="s">
        <v>239</v>
      </c>
      <c r="C16" s="133" t="s">
        <v>192</v>
      </c>
      <c r="D16" s="133" t="s">
        <v>240</v>
      </c>
      <c r="E16" s="183" t="s">
        <v>197</v>
      </c>
    </row>
    <row r="17" spans="1:5" ht="19.5" customHeight="1">
      <c r="A17" s="96"/>
      <c r="B17" s="352" t="s">
        <v>180</v>
      </c>
      <c r="C17" s="352"/>
      <c r="D17" s="300"/>
      <c r="E17" s="44">
        <f>F13</f>
        <v>1453172.4000000001</v>
      </c>
    </row>
    <row r="18" spans="1:5" ht="19.5" customHeight="1">
      <c r="A18" s="56">
        <v>1</v>
      </c>
      <c r="B18" s="57" t="s">
        <v>181</v>
      </c>
      <c r="C18" s="56" t="s">
        <v>550</v>
      </c>
      <c r="D18" s="56">
        <v>1</v>
      </c>
      <c r="E18" s="155">
        <f>$E$17*D18</f>
        <v>1453172.4000000001</v>
      </c>
    </row>
    <row r="19" spans="1:5" ht="19.5" customHeight="1">
      <c r="A19" s="56">
        <v>2</v>
      </c>
      <c r="B19" s="57" t="s">
        <v>182</v>
      </c>
      <c r="C19" s="56" t="s">
        <v>550</v>
      </c>
      <c r="D19" s="56">
        <v>1</v>
      </c>
      <c r="E19" s="155">
        <f>$E$17*D19</f>
        <v>1453172.4000000001</v>
      </c>
    </row>
    <row r="20" spans="1:5" ht="19.5" customHeight="1">
      <c r="A20" s="56">
        <v>3</v>
      </c>
      <c r="B20" s="57" t="s">
        <v>544</v>
      </c>
      <c r="C20" s="56" t="s">
        <v>550</v>
      </c>
      <c r="D20" s="56">
        <v>0.81</v>
      </c>
      <c r="E20" s="155">
        <f>$E$17*D20</f>
        <v>1177069.644</v>
      </c>
    </row>
    <row r="21" spans="1:5" ht="19.5" customHeight="1">
      <c r="A21" s="101">
        <v>4</v>
      </c>
      <c r="B21" s="310" t="s">
        <v>538</v>
      </c>
      <c r="C21" s="101" t="s">
        <v>550</v>
      </c>
      <c r="D21" s="101">
        <v>0.05</v>
      </c>
      <c r="E21" s="167">
        <f>$E$17*D21</f>
        <v>72658.62000000001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D9" sqref="D9"/>
    </sheetView>
  </sheetViews>
  <sheetFormatPr defaultColWidth="9.140625" defaultRowHeight="19.5" customHeight="1"/>
  <cols>
    <col min="1" max="1" width="6.00390625" style="136" customWidth="1"/>
    <col min="2" max="2" width="29.00390625" style="136" customWidth="1"/>
    <col min="3" max="5" width="9.140625" style="136" customWidth="1"/>
    <col min="6" max="6" width="12.140625" style="136" customWidth="1"/>
    <col min="7" max="16384" width="9.140625" style="136" customWidth="1"/>
  </cols>
  <sheetData>
    <row r="1" spans="1:7" ht="19.5" customHeight="1">
      <c r="A1" s="449" t="s">
        <v>243</v>
      </c>
      <c r="B1" s="449"/>
      <c r="C1" s="449"/>
      <c r="D1" s="449"/>
      <c r="E1" s="449"/>
      <c r="F1" s="449"/>
      <c r="G1" s="449"/>
    </row>
    <row r="2" spans="1:7" ht="19.5" customHeight="1">
      <c r="A2" s="449" t="s">
        <v>553</v>
      </c>
      <c r="B2" s="449"/>
      <c r="C2" s="449"/>
      <c r="D2" s="449"/>
      <c r="E2" s="449"/>
      <c r="F2" s="449"/>
      <c r="G2" s="449"/>
    </row>
    <row r="4" spans="1:6" ht="19.5" customHeight="1">
      <c r="A4" s="133" t="s">
        <v>238</v>
      </c>
      <c r="B4" s="133" t="s">
        <v>429</v>
      </c>
      <c r="C4" s="133" t="s">
        <v>192</v>
      </c>
      <c r="D4" s="307" t="s">
        <v>194</v>
      </c>
      <c r="E4" s="133" t="s">
        <v>245</v>
      </c>
      <c r="F4" s="183" t="s">
        <v>197</v>
      </c>
    </row>
    <row r="5" spans="1:6" ht="19.5" customHeight="1">
      <c r="A5" s="96">
        <v>1</v>
      </c>
      <c r="B5" s="97" t="s">
        <v>430</v>
      </c>
      <c r="C5" s="96" t="s">
        <v>431</v>
      </c>
      <c r="D5" s="196">
        <f>VLOOKUP(B5,Vatlieu_C_BQK!$B$5:$D$23,3,0)</f>
        <v>3000</v>
      </c>
      <c r="E5" s="388">
        <v>1</v>
      </c>
      <c r="F5" s="187">
        <f>D5*E5</f>
        <v>3000</v>
      </c>
    </row>
    <row r="6" spans="1:6" ht="19.5" customHeight="1">
      <c r="A6" s="56">
        <v>2</v>
      </c>
      <c r="B6" s="59" t="s">
        <v>434</v>
      </c>
      <c r="C6" s="56" t="s">
        <v>435</v>
      </c>
      <c r="D6" s="197">
        <f>VLOOKUP(B6,Vatlieu_C_BQK!$B$5:$D$23,3,0)</f>
        <v>80000</v>
      </c>
      <c r="E6" s="355">
        <v>1</v>
      </c>
      <c r="F6" s="155">
        <f aca="true" t="shared" si="0" ref="F6:F14">D6*E6</f>
        <v>80000</v>
      </c>
    </row>
    <row r="7" spans="1:6" ht="19.5" customHeight="1">
      <c r="A7" s="56">
        <v>3</v>
      </c>
      <c r="B7" s="59" t="s">
        <v>512</v>
      </c>
      <c r="C7" s="56" t="s">
        <v>513</v>
      </c>
      <c r="D7" s="197">
        <f>VLOOKUP(B7,Vatlieu_C_BQK!$B$5:$D$23,3,0)</f>
        <v>5000</v>
      </c>
      <c r="E7" s="355">
        <v>5</v>
      </c>
      <c r="F7" s="155">
        <f t="shared" si="0"/>
        <v>25000</v>
      </c>
    </row>
    <row r="8" spans="1:6" ht="19.5" customHeight="1">
      <c r="A8" s="56">
        <v>4</v>
      </c>
      <c r="B8" s="57" t="s">
        <v>436</v>
      </c>
      <c r="C8" s="56" t="s">
        <v>437</v>
      </c>
      <c r="D8" s="197">
        <f>VLOOKUP(B8,Vatlieu_C_BQK!$B$5:$D$23,3,0)</f>
        <v>19500</v>
      </c>
      <c r="E8" s="355">
        <v>3</v>
      </c>
      <c r="F8" s="155">
        <f t="shared" si="0"/>
        <v>58500</v>
      </c>
    </row>
    <row r="9" spans="1:6" ht="19.5" customHeight="1">
      <c r="A9" s="56">
        <v>5</v>
      </c>
      <c r="B9" s="57" t="s">
        <v>438</v>
      </c>
      <c r="C9" s="56" t="s">
        <v>431</v>
      </c>
      <c r="D9" s="197">
        <f>VLOOKUP(B9,Vatlieu_C_BQK!$B$5:$D$23,3,0)</f>
        <v>1450000</v>
      </c>
      <c r="E9" s="355">
        <v>1</v>
      </c>
      <c r="F9" s="155">
        <f t="shared" si="0"/>
        <v>1450000</v>
      </c>
    </row>
    <row r="10" spans="1:6" ht="19.5" customHeight="1">
      <c r="A10" s="56">
        <v>6</v>
      </c>
      <c r="B10" s="57" t="s">
        <v>439</v>
      </c>
      <c r="C10" s="56" t="s">
        <v>431</v>
      </c>
      <c r="D10" s="197">
        <f>VLOOKUP(B10,Vatlieu_C_BQK!$B$5:$D$23,3,0)</f>
        <v>1477300</v>
      </c>
      <c r="E10" s="355">
        <v>0.1</v>
      </c>
      <c r="F10" s="155">
        <f t="shared" si="0"/>
        <v>147730</v>
      </c>
    </row>
    <row r="11" spans="1:6" ht="19.5" customHeight="1">
      <c r="A11" s="56">
        <v>7</v>
      </c>
      <c r="B11" s="57" t="s">
        <v>440</v>
      </c>
      <c r="C11" s="56" t="s">
        <v>437</v>
      </c>
      <c r="D11" s="197">
        <f>VLOOKUP(B11,Vatlieu_C_BQK!$B$5:$D$23,3,0)</f>
        <v>12000</v>
      </c>
      <c r="E11" s="355">
        <v>1</v>
      </c>
      <c r="F11" s="155">
        <f t="shared" si="0"/>
        <v>12000</v>
      </c>
    </row>
    <row r="12" spans="1:6" ht="19.5" customHeight="1">
      <c r="A12" s="56">
        <v>8</v>
      </c>
      <c r="B12" s="57" t="s">
        <v>446</v>
      </c>
      <c r="C12" s="56" t="s">
        <v>431</v>
      </c>
      <c r="D12" s="197">
        <f>VLOOKUP(B12,Vatlieu_C_BQK!$B$5:$D$23,3,0)</f>
        <v>13000</v>
      </c>
      <c r="E12" s="355">
        <v>4</v>
      </c>
      <c r="F12" s="155">
        <f t="shared" si="0"/>
        <v>52000</v>
      </c>
    </row>
    <row r="13" spans="1:6" ht="19.5" customHeight="1">
      <c r="A13" s="56">
        <v>9</v>
      </c>
      <c r="B13" s="57" t="s">
        <v>515</v>
      </c>
      <c r="C13" s="56" t="s">
        <v>435</v>
      </c>
      <c r="D13" s="197">
        <f>VLOOKUP(B13,Vatlieu_C_BQK!$B$5:$D$23,3,0)</f>
        <v>150000</v>
      </c>
      <c r="E13" s="355">
        <v>1</v>
      </c>
      <c r="F13" s="155">
        <f t="shared" si="0"/>
        <v>150000</v>
      </c>
    </row>
    <row r="14" spans="1:6" ht="19.5" customHeight="1">
      <c r="A14" s="56">
        <v>10</v>
      </c>
      <c r="B14" s="57" t="s">
        <v>208</v>
      </c>
      <c r="C14" s="56" t="s">
        <v>199</v>
      </c>
      <c r="D14" s="197">
        <f>VLOOKUP(B14,Vatlieu_C_BQK!$B$5:$D$23,3,0)</f>
        <v>8000</v>
      </c>
      <c r="E14" s="355">
        <v>2</v>
      </c>
      <c r="F14" s="155">
        <f t="shared" si="0"/>
        <v>16000</v>
      </c>
    </row>
    <row r="15" spans="1:6" ht="19.5" customHeight="1">
      <c r="A15" s="101">
        <v>11</v>
      </c>
      <c r="B15" s="310" t="s">
        <v>554</v>
      </c>
      <c r="C15" s="101" t="s">
        <v>442</v>
      </c>
      <c r="D15" s="198">
        <f>Vatlieu_A_TN_KT_BG_BC!D18</f>
        <v>3000</v>
      </c>
      <c r="E15" s="356">
        <v>10</v>
      </c>
      <c r="F15" s="167">
        <f>Vatlieu_A_TN_KT_BG_BC!D18</f>
        <v>3000</v>
      </c>
    </row>
    <row r="16" spans="1:6" ht="19.5" customHeight="1">
      <c r="A16" s="52"/>
      <c r="B16" s="387" t="s">
        <v>451</v>
      </c>
      <c r="C16" s="52"/>
      <c r="D16" s="52"/>
      <c r="E16" s="52"/>
      <c r="F16" s="53">
        <f>SUM(F5:F15)*1.08</f>
        <v>2157008.4000000004</v>
      </c>
    </row>
    <row r="18" spans="1:5" ht="19.5" customHeight="1">
      <c r="A18" s="450" t="s">
        <v>557</v>
      </c>
      <c r="B18" s="450"/>
      <c r="C18" s="450"/>
      <c r="D18" s="450"/>
      <c r="E18" s="450"/>
    </row>
    <row r="19" spans="1:5" ht="36" customHeight="1">
      <c r="A19" s="133" t="s">
        <v>238</v>
      </c>
      <c r="B19" s="133" t="s">
        <v>239</v>
      </c>
      <c r="C19" s="133" t="s">
        <v>192</v>
      </c>
      <c r="D19" s="133" t="s">
        <v>240</v>
      </c>
      <c r="E19" s="183" t="s">
        <v>197</v>
      </c>
    </row>
    <row r="20" spans="1:5" ht="19.5" customHeight="1">
      <c r="A20" s="96"/>
      <c r="B20" s="97" t="s">
        <v>535</v>
      </c>
      <c r="C20" s="97"/>
      <c r="D20" s="96"/>
      <c r="E20" s="44">
        <f>F16</f>
        <v>2157008.4000000004</v>
      </c>
    </row>
    <row r="21" spans="1:5" ht="19.5" customHeight="1">
      <c r="A21" s="56">
        <v>1</v>
      </c>
      <c r="B21" s="57" t="s">
        <v>172</v>
      </c>
      <c r="C21" s="56" t="s">
        <v>550</v>
      </c>
      <c r="D21" s="56">
        <v>2</v>
      </c>
      <c r="E21" s="155">
        <f>$E$20*D21</f>
        <v>4314016.800000001</v>
      </c>
    </row>
    <row r="22" spans="1:5" ht="19.5" customHeight="1">
      <c r="A22" s="56">
        <v>2</v>
      </c>
      <c r="B22" s="57" t="s">
        <v>173</v>
      </c>
      <c r="C22" s="56" t="s">
        <v>550</v>
      </c>
      <c r="D22" s="56">
        <v>0.5</v>
      </c>
      <c r="E22" s="155">
        <f aca="true" t="shared" si="1" ref="E22:E27">$E$20*D22</f>
        <v>1078504.2000000002</v>
      </c>
    </row>
    <row r="23" spans="1:5" ht="19.5" customHeight="1">
      <c r="A23" s="56">
        <v>3</v>
      </c>
      <c r="B23" s="57" t="s">
        <v>174</v>
      </c>
      <c r="C23" s="56" t="s">
        <v>550</v>
      </c>
      <c r="D23" s="56">
        <v>1</v>
      </c>
      <c r="E23" s="155">
        <f t="shared" si="1"/>
        <v>2157008.4000000004</v>
      </c>
    </row>
    <row r="24" spans="1:5" ht="19.5" customHeight="1">
      <c r="A24" s="56">
        <v>4</v>
      </c>
      <c r="B24" s="57" t="s">
        <v>175</v>
      </c>
      <c r="C24" s="56" t="s">
        <v>555</v>
      </c>
      <c r="D24" s="56">
        <v>0.1</v>
      </c>
      <c r="E24" s="155">
        <f t="shared" si="1"/>
        <v>215700.84000000005</v>
      </c>
    </row>
    <row r="25" spans="1:5" ht="19.5" customHeight="1">
      <c r="A25" s="56">
        <v>5</v>
      </c>
      <c r="B25" s="57" t="s">
        <v>177</v>
      </c>
      <c r="C25" s="56" t="s">
        <v>550</v>
      </c>
      <c r="D25" s="56">
        <v>1</v>
      </c>
      <c r="E25" s="155">
        <f t="shared" si="1"/>
        <v>2157008.4000000004</v>
      </c>
    </row>
    <row r="26" spans="1:5" ht="19.5" customHeight="1">
      <c r="A26" s="101">
        <v>6</v>
      </c>
      <c r="B26" s="310" t="s">
        <v>556</v>
      </c>
      <c r="C26" s="101" t="s">
        <v>550</v>
      </c>
      <c r="D26" s="101">
        <v>1</v>
      </c>
      <c r="E26" s="167">
        <f t="shared" si="1"/>
        <v>2157008.4000000004</v>
      </c>
    </row>
    <row r="27" spans="1:5" ht="19.5" customHeight="1">
      <c r="A27" s="321">
        <v>7</v>
      </c>
      <c r="B27" s="322" t="s">
        <v>538</v>
      </c>
      <c r="C27" s="321" t="s">
        <v>550</v>
      </c>
      <c r="D27" s="321">
        <v>2</v>
      </c>
      <c r="E27" s="262">
        <f t="shared" si="1"/>
        <v>4314016.800000001</v>
      </c>
    </row>
  </sheetData>
  <sheetProtection/>
  <mergeCells count="3">
    <mergeCell ref="A1:G1"/>
    <mergeCell ref="A2:G2"/>
    <mergeCell ref="A18:E1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0">
      <selection activeCell="D11" sqref="D11"/>
    </sheetView>
  </sheetViews>
  <sheetFormatPr defaultColWidth="9.140625" defaultRowHeight="19.5" customHeight="1"/>
  <cols>
    <col min="1" max="1" width="6.8515625" style="136" customWidth="1"/>
    <col min="2" max="2" width="32.28125" style="136" customWidth="1"/>
    <col min="3" max="3" width="9.140625" style="136" customWidth="1"/>
    <col min="4" max="4" width="9.7109375" style="181" customWidth="1"/>
    <col min="5" max="5" width="9.140625" style="353" customWidth="1"/>
    <col min="6" max="6" width="12.8515625" style="136" customWidth="1"/>
    <col min="7" max="16384" width="9.140625" style="136" customWidth="1"/>
  </cols>
  <sheetData>
    <row r="1" spans="1:9" ht="19.5" customHeight="1">
      <c r="A1" s="449" t="s">
        <v>243</v>
      </c>
      <c r="B1" s="449"/>
      <c r="C1" s="449"/>
      <c r="D1" s="449"/>
      <c r="E1" s="449"/>
      <c r="F1" s="449"/>
      <c r="G1" s="311"/>
      <c r="H1" s="311"/>
      <c r="I1" s="311"/>
    </row>
    <row r="2" spans="1:9" ht="19.5" customHeight="1">
      <c r="A2" s="449" t="s">
        <v>547</v>
      </c>
      <c r="B2" s="449"/>
      <c r="C2" s="449"/>
      <c r="D2" s="449"/>
      <c r="E2" s="449"/>
      <c r="F2" s="449"/>
      <c r="G2" s="311"/>
      <c r="H2" s="311"/>
      <c r="I2" s="311"/>
    </row>
    <row r="4" spans="1:6" s="94" customFormat="1" ht="19.5" customHeight="1">
      <c r="A4" s="133" t="s">
        <v>238</v>
      </c>
      <c r="B4" s="133" t="s">
        <v>429</v>
      </c>
      <c r="C4" s="133" t="s">
        <v>192</v>
      </c>
      <c r="D4" s="307" t="s">
        <v>194</v>
      </c>
      <c r="E4" s="133" t="s">
        <v>245</v>
      </c>
      <c r="F4" s="183" t="s">
        <v>197</v>
      </c>
    </row>
    <row r="5" spans="1:6" ht="19.5" customHeight="1">
      <c r="A5" s="96">
        <v>1</v>
      </c>
      <c r="B5" s="97" t="s">
        <v>430</v>
      </c>
      <c r="C5" s="96" t="s">
        <v>431</v>
      </c>
      <c r="D5" s="196">
        <f>VLOOKUP(B5,Vatlieu_B_BQTL!$B$5:$D$21,3,0)</f>
        <v>3000</v>
      </c>
      <c r="E5" s="388">
        <v>1</v>
      </c>
      <c r="F5" s="187">
        <f>D5*E5</f>
        <v>3000</v>
      </c>
    </row>
    <row r="6" spans="1:6" ht="19.5" customHeight="1">
      <c r="A6" s="56">
        <v>2</v>
      </c>
      <c r="B6" s="57" t="s">
        <v>432</v>
      </c>
      <c r="C6" s="56" t="s">
        <v>431</v>
      </c>
      <c r="D6" s="197">
        <f>VLOOKUP(B6,Vatlieu_B_BQTL!$B$5:$D$21,3,0)</f>
        <v>3000</v>
      </c>
      <c r="E6" s="355">
        <v>2</v>
      </c>
      <c r="F6" s="155">
        <f aca="true" t="shared" si="0" ref="F6:F23">D6*E6</f>
        <v>6000</v>
      </c>
    </row>
    <row r="7" spans="1:6" ht="19.5" customHeight="1">
      <c r="A7" s="56">
        <v>3</v>
      </c>
      <c r="B7" s="57" t="s">
        <v>433</v>
      </c>
      <c r="C7" s="56" t="s">
        <v>431</v>
      </c>
      <c r="D7" s="197">
        <f>VLOOKUP(B7,Vatlieu_B_BQTL!$B$5:$D$21,3,0)</f>
        <v>5500</v>
      </c>
      <c r="E7" s="355">
        <v>1</v>
      </c>
      <c r="F7" s="155">
        <f t="shared" si="0"/>
        <v>5500</v>
      </c>
    </row>
    <row r="8" spans="1:6" ht="19.5" customHeight="1">
      <c r="A8" s="56">
        <v>4</v>
      </c>
      <c r="B8" s="59" t="s">
        <v>434</v>
      </c>
      <c r="C8" s="56" t="s">
        <v>435</v>
      </c>
      <c r="D8" s="197">
        <f>VLOOKUP(B8,Vatlieu_B_BQTL!$B$5:$D$21,3,0)</f>
        <v>80000</v>
      </c>
      <c r="E8" s="355">
        <v>1</v>
      </c>
      <c r="F8" s="155">
        <f t="shared" si="0"/>
        <v>80000</v>
      </c>
    </row>
    <row r="9" spans="1:6" ht="19.5" customHeight="1">
      <c r="A9" s="56">
        <v>5</v>
      </c>
      <c r="B9" s="59" t="s">
        <v>512</v>
      </c>
      <c r="C9" s="56" t="s">
        <v>513</v>
      </c>
      <c r="D9" s="197">
        <f>VLOOKUP(B9,Vatlieu_B_BQTL!$B$5:$D$21,3,0)</f>
        <v>5000</v>
      </c>
      <c r="E9" s="355">
        <v>5</v>
      </c>
      <c r="F9" s="155">
        <f t="shared" si="0"/>
        <v>25000</v>
      </c>
    </row>
    <row r="10" spans="1:6" ht="19.5" customHeight="1">
      <c r="A10" s="56">
        <v>6</v>
      </c>
      <c r="B10" s="57" t="s">
        <v>436</v>
      </c>
      <c r="C10" s="56" t="s">
        <v>437</v>
      </c>
      <c r="D10" s="197">
        <f>VLOOKUP(B10,Vatlieu_B_BQTL!$B$5:$D$21,3,0)</f>
        <v>19500</v>
      </c>
      <c r="E10" s="355">
        <v>3</v>
      </c>
      <c r="F10" s="155">
        <f t="shared" si="0"/>
        <v>58500</v>
      </c>
    </row>
    <row r="11" spans="1:6" ht="19.5" customHeight="1">
      <c r="A11" s="56">
        <v>7</v>
      </c>
      <c r="B11" s="57" t="s">
        <v>438</v>
      </c>
      <c r="C11" s="56" t="s">
        <v>431</v>
      </c>
      <c r="D11" s="197">
        <f>Vatlieu_B_BQLBC!D7</f>
        <v>1450000</v>
      </c>
      <c r="E11" s="355">
        <v>0.1</v>
      </c>
      <c r="F11" s="155">
        <f t="shared" si="0"/>
        <v>145000</v>
      </c>
    </row>
    <row r="12" spans="1:6" ht="19.5" customHeight="1">
      <c r="A12" s="56">
        <v>8</v>
      </c>
      <c r="B12" s="57" t="s">
        <v>439</v>
      </c>
      <c r="C12" s="56" t="s">
        <v>431</v>
      </c>
      <c r="D12" s="197">
        <f>VLOOKUP(B12,Vatlieu_B_BQTL!$B$5:$D$21,3,0)</f>
        <v>1477300</v>
      </c>
      <c r="E12" s="355">
        <v>0.1</v>
      </c>
      <c r="F12" s="155">
        <f t="shared" si="0"/>
        <v>147730</v>
      </c>
    </row>
    <row r="13" spans="1:6" ht="19.5" customHeight="1">
      <c r="A13" s="56">
        <v>9</v>
      </c>
      <c r="B13" s="57" t="s">
        <v>440</v>
      </c>
      <c r="C13" s="56" t="s">
        <v>437</v>
      </c>
      <c r="D13" s="197">
        <f>VLOOKUP(B13,Vatlieu_B_BQTL!$B$5:$D$21,3,0)</f>
        <v>12000</v>
      </c>
      <c r="E13" s="355">
        <v>1</v>
      </c>
      <c r="F13" s="155">
        <f t="shared" si="0"/>
        <v>12000</v>
      </c>
    </row>
    <row r="14" spans="1:6" ht="19.5" customHeight="1">
      <c r="A14" s="56">
        <v>10</v>
      </c>
      <c r="B14" s="57" t="s">
        <v>441</v>
      </c>
      <c r="C14" s="56" t="s">
        <v>442</v>
      </c>
      <c r="D14" s="197">
        <f>VLOOKUP(B14,Vatlieu_B_BQTL!$B$5:$D$21,3,0)</f>
        <v>8500</v>
      </c>
      <c r="E14" s="355">
        <v>0.2</v>
      </c>
      <c r="F14" s="155">
        <f t="shared" si="0"/>
        <v>1700</v>
      </c>
    </row>
    <row r="15" spans="1:6" ht="19.5" customHeight="1">
      <c r="A15" s="56">
        <v>11</v>
      </c>
      <c r="B15" s="57" t="s">
        <v>443</v>
      </c>
      <c r="C15" s="56" t="s">
        <v>442</v>
      </c>
      <c r="D15" s="197">
        <f>VLOOKUP(B15,Vatlieu_B_BQTL!$B$5:$D$21,3,0)</f>
        <v>8500</v>
      </c>
      <c r="E15" s="355">
        <v>0.02</v>
      </c>
      <c r="F15" s="155">
        <f t="shared" si="0"/>
        <v>170</v>
      </c>
    </row>
    <row r="16" spans="1:6" ht="19.5" customHeight="1">
      <c r="A16" s="56">
        <v>12</v>
      </c>
      <c r="B16" s="57" t="s">
        <v>444</v>
      </c>
      <c r="C16" s="56" t="s">
        <v>445</v>
      </c>
      <c r="D16" s="197">
        <f>VLOOKUP(B16,Vatlieu_B_BQTL!$B$5:$D$21,3,0)</f>
        <v>39500</v>
      </c>
      <c r="E16" s="355">
        <v>0.05</v>
      </c>
      <c r="F16" s="155">
        <f t="shared" si="0"/>
        <v>1975</v>
      </c>
    </row>
    <row r="17" spans="1:6" ht="19.5" customHeight="1">
      <c r="A17" s="56">
        <v>13</v>
      </c>
      <c r="B17" s="57" t="s">
        <v>446</v>
      </c>
      <c r="C17" s="56" t="s">
        <v>431</v>
      </c>
      <c r="D17" s="197">
        <f>VLOOKUP(B17,Vatlieu_B_BQTL!$B$5:$D$21,3,0)</f>
        <v>13000</v>
      </c>
      <c r="E17" s="355">
        <v>0.1</v>
      </c>
      <c r="F17" s="155">
        <f t="shared" si="0"/>
        <v>1300</v>
      </c>
    </row>
    <row r="18" spans="1:6" ht="19.5" customHeight="1">
      <c r="A18" s="56">
        <v>14</v>
      </c>
      <c r="B18" s="57" t="s">
        <v>447</v>
      </c>
      <c r="C18" s="56" t="s">
        <v>199</v>
      </c>
      <c r="D18" s="197">
        <f>VLOOKUP(B18,Vatlieu_B_BQTL!$B$5:$D$21,3,0)</f>
        <v>40000</v>
      </c>
      <c r="E18" s="355">
        <v>5</v>
      </c>
      <c r="F18" s="155">
        <f t="shared" si="0"/>
        <v>200000</v>
      </c>
    </row>
    <row r="19" spans="1:6" ht="19.5" customHeight="1">
      <c r="A19" s="56">
        <v>15</v>
      </c>
      <c r="B19" s="57" t="s">
        <v>515</v>
      </c>
      <c r="C19" s="56" t="s">
        <v>435</v>
      </c>
      <c r="D19" s="197">
        <f>VLOOKUP(B19,Vatlieu_B_BQTL!$B$5:$D$21,3,0)</f>
        <v>150000</v>
      </c>
      <c r="E19" s="355">
        <v>1</v>
      </c>
      <c r="F19" s="155">
        <f t="shared" si="0"/>
        <v>150000</v>
      </c>
    </row>
    <row r="20" spans="1:6" ht="19.5" customHeight="1">
      <c r="A20" s="56">
        <v>16</v>
      </c>
      <c r="B20" s="57" t="s">
        <v>208</v>
      </c>
      <c r="C20" s="56" t="s">
        <v>199</v>
      </c>
      <c r="D20" s="197">
        <f>VLOOKUP(B20,Vatlieu_B_BQTL!$B$5:$D$21,3,0)</f>
        <v>8000</v>
      </c>
      <c r="E20" s="355">
        <v>2</v>
      </c>
      <c r="F20" s="155">
        <f t="shared" si="0"/>
        <v>16000</v>
      </c>
    </row>
    <row r="21" spans="1:6" ht="19.5" customHeight="1">
      <c r="A21" s="56">
        <v>17</v>
      </c>
      <c r="B21" s="57" t="s">
        <v>502</v>
      </c>
      <c r="C21" s="56" t="s">
        <v>199</v>
      </c>
      <c r="D21" s="197">
        <f>Vatlieu_B_BQKho!E5</f>
        <v>12000</v>
      </c>
      <c r="E21" s="355">
        <v>2</v>
      </c>
      <c r="F21" s="155">
        <f t="shared" si="0"/>
        <v>24000</v>
      </c>
    </row>
    <row r="22" spans="1:6" ht="19.5" customHeight="1">
      <c r="A22" s="56">
        <v>18</v>
      </c>
      <c r="B22" s="57" t="s">
        <v>503</v>
      </c>
      <c r="C22" s="56" t="s">
        <v>504</v>
      </c>
      <c r="D22" s="197">
        <f>Vatlieu_B_BQKho!E6</f>
        <v>20000</v>
      </c>
      <c r="E22" s="355">
        <v>0.2</v>
      </c>
      <c r="F22" s="155">
        <f t="shared" si="0"/>
        <v>4000</v>
      </c>
    </row>
    <row r="23" spans="1:6" ht="19.5" customHeight="1">
      <c r="A23" s="101">
        <v>19</v>
      </c>
      <c r="B23" s="310" t="s">
        <v>548</v>
      </c>
      <c r="C23" s="101" t="s">
        <v>549</v>
      </c>
      <c r="D23" s="198">
        <f>Vatlieu_B_BQKho!E7</f>
        <v>12000</v>
      </c>
      <c r="E23" s="356">
        <v>0.2</v>
      </c>
      <c r="F23" s="167">
        <f t="shared" si="0"/>
        <v>2400</v>
      </c>
    </row>
    <row r="24" spans="1:6" ht="19.5" customHeight="1">
      <c r="A24" s="52"/>
      <c r="B24" s="387" t="s">
        <v>451</v>
      </c>
      <c r="C24" s="52"/>
      <c r="D24" s="246"/>
      <c r="E24" s="354"/>
      <c r="F24" s="53">
        <f>SUM(F5:F23)*1.08</f>
        <v>955017.0000000001</v>
      </c>
    </row>
    <row r="26" spans="1:5" ht="19.5" customHeight="1">
      <c r="A26" s="450" t="s">
        <v>557</v>
      </c>
      <c r="B26" s="450"/>
      <c r="C26" s="450"/>
      <c r="D26" s="450"/>
      <c r="E26" s="450"/>
    </row>
    <row r="27" spans="1:5" ht="19.5" customHeight="1">
      <c r="A27" s="133" t="s">
        <v>238</v>
      </c>
      <c r="B27" s="133" t="s">
        <v>239</v>
      </c>
      <c r="C27" s="133" t="s">
        <v>192</v>
      </c>
      <c r="D27" s="133" t="s">
        <v>240</v>
      </c>
      <c r="E27" s="354"/>
    </row>
    <row r="28" spans="1:5" ht="19.5" customHeight="1">
      <c r="A28" s="96"/>
      <c r="B28" s="97" t="s">
        <v>546</v>
      </c>
      <c r="C28" s="97"/>
      <c r="D28" s="96"/>
      <c r="E28" s="389">
        <f>F24</f>
        <v>955017.0000000001</v>
      </c>
    </row>
    <row r="29" spans="1:5" ht="19.5" customHeight="1">
      <c r="A29" s="56">
        <v>1</v>
      </c>
      <c r="B29" s="59" t="s">
        <v>165</v>
      </c>
      <c r="C29" s="56" t="s">
        <v>552</v>
      </c>
      <c r="D29" s="56">
        <v>0.2</v>
      </c>
      <c r="E29" s="157">
        <f>$E$28*D29</f>
        <v>191003.40000000002</v>
      </c>
    </row>
    <row r="30" spans="1:5" ht="19.5" customHeight="1">
      <c r="A30" s="56">
        <v>2</v>
      </c>
      <c r="B30" s="59" t="s">
        <v>166</v>
      </c>
      <c r="C30" s="56" t="s">
        <v>552</v>
      </c>
      <c r="D30" s="56">
        <v>0.4</v>
      </c>
      <c r="E30" s="157">
        <f aca="true" t="shared" si="1" ref="E30:E35">$E$28*D30</f>
        <v>382006.80000000005</v>
      </c>
    </row>
    <row r="31" spans="1:5" ht="19.5" customHeight="1">
      <c r="A31" s="56">
        <v>3</v>
      </c>
      <c r="B31" s="59" t="s">
        <v>69</v>
      </c>
      <c r="C31" s="56" t="s">
        <v>549</v>
      </c>
      <c r="D31" s="56">
        <v>0.6</v>
      </c>
      <c r="E31" s="157">
        <f t="shared" si="1"/>
        <v>573010.2000000001</v>
      </c>
    </row>
    <row r="32" spans="1:5" ht="19.5" customHeight="1">
      <c r="A32" s="56">
        <v>4</v>
      </c>
      <c r="B32" s="59" t="s">
        <v>167</v>
      </c>
      <c r="C32" s="56" t="s">
        <v>550</v>
      </c>
      <c r="D32" s="56">
        <v>3</v>
      </c>
      <c r="E32" s="157">
        <f t="shared" si="1"/>
        <v>2865051.0000000005</v>
      </c>
    </row>
    <row r="33" spans="1:5" ht="19.5" customHeight="1">
      <c r="A33" s="56">
        <v>5</v>
      </c>
      <c r="B33" s="59" t="s">
        <v>168</v>
      </c>
      <c r="C33" s="56" t="s">
        <v>550</v>
      </c>
      <c r="D33" s="56">
        <v>1</v>
      </c>
      <c r="E33" s="157">
        <f t="shared" si="1"/>
        <v>955017.0000000001</v>
      </c>
    </row>
    <row r="34" spans="1:5" ht="19.5" customHeight="1">
      <c r="A34" s="101">
        <v>6</v>
      </c>
      <c r="B34" s="102" t="s">
        <v>533</v>
      </c>
      <c r="C34" s="101" t="s">
        <v>550</v>
      </c>
      <c r="D34" s="101">
        <v>3</v>
      </c>
      <c r="E34" s="166">
        <f t="shared" si="1"/>
        <v>2865051.0000000005</v>
      </c>
    </row>
    <row r="35" spans="1:5" ht="19.5" customHeight="1">
      <c r="A35" s="321">
        <v>7</v>
      </c>
      <c r="B35" s="346" t="s">
        <v>170</v>
      </c>
      <c r="C35" s="321" t="s">
        <v>551</v>
      </c>
      <c r="D35" s="321">
        <v>0.01</v>
      </c>
      <c r="E35" s="246">
        <f t="shared" si="1"/>
        <v>9550.170000000002</v>
      </c>
    </row>
  </sheetData>
  <sheetProtection/>
  <mergeCells count="3">
    <mergeCell ref="A1:F1"/>
    <mergeCell ref="A2:F2"/>
    <mergeCell ref="A26:E2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4">
      <selection activeCell="D5" sqref="D5"/>
    </sheetView>
  </sheetViews>
  <sheetFormatPr defaultColWidth="9.140625" defaultRowHeight="12.75"/>
  <cols>
    <col min="1" max="1" width="7.57421875" style="0" customWidth="1"/>
    <col min="2" max="2" width="32.8515625" style="0" customWidth="1"/>
    <col min="4" max="4" width="11.7109375" style="0" bestFit="1" customWidth="1"/>
    <col min="6" max="6" width="15.7109375" style="0" customWidth="1"/>
  </cols>
  <sheetData>
    <row r="1" spans="1:8" ht="19.5" customHeight="1">
      <c r="A1" s="449" t="s">
        <v>243</v>
      </c>
      <c r="B1" s="449"/>
      <c r="C1" s="449"/>
      <c r="D1" s="449"/>
      <c r="E1" s="449"/>
      <c r="F1" s="449"/>
      <c r="G1" s="449"/>
      <c r="H1" s="449"/>
    </row>
    <row r="2" spans="1:8" ht="19.5" customHeight="1">
      <c r="A2" s="449" t="s">
        <v>583</v>
      </c>
      <c r="B2" s="449"/>
      <c r="C2" s="449"/>
      <c r="D2" s="449"/>
      <c r="E2" s="449"/>
      <c r="F2" s="449"/>
      <c r="G2" s="449"/>
      <c r="H2" s="449"/>
    </row>
    <row r="3" ht="19.5" customHeight="1"/>
    <row r="4" spans="1:6" ht="19.5" customHeight="1">
      <c r="A4" s="137" t="s">
        <v>238</v>
      </c>
      <c r="B4" s="137" t="s">
        <v>429</v>
      </c>
      <c r="C4" s="137" t="s">
        <v>192</v>
      </c>
      <c r="D4" s="247" t="s">
        <v>194</v>
      </c>
      <c r="E4" s="137" t="s">
        <v>245</v>
      </c>
      <c r="F4" s="324" t="s">
        <v>197</v>
      </c>
    </row>
    <row r="5" spans="1:6" ht="19.5" customHeight="1">
      <c r="A5" s="245">
        <v>1</v>
      </c>
      <c r="B5" s="344" t="s">
        <v>430</v>
      </c>
      <c r="C5" s="245" t="s">
        <v>431</v>
      </c>
      <c r="D5" s="254">
        <f>Vatlieu_B_BQTL!D5</f>
        <v>3000</v>
      </c>
      <c r="E5" s="245">
        <v>0.05</v>
      </c>
      <c r="F5" s="338">
        <f>D5*E5</f>
        <v>150</v>
      </c>
    </row>
    <row r="6" spans="1:6" ht="19.5" customHeight="1">
      <c r="A6" s="245">
        <v>2</v>
      </c>
      <c r="B6" s="253" t="s">
        <v>434</v>
      </c>
      <c r="C6" s="245" t="s">
        <v>435</v>
      </c>
      <c r="D6" s="254">
        <f>Vatlieu_B_BQLBC!D6</f>
        <v>80000</v>
      </c>
      <c r="E6" s="245">
        <v>0.12</v>
      </c>
      <c r="F6" s="338">
        <f>D6*E6</f>
        <v>9600</v>
      </c>
    </row>
    <row r="7" spans="1:6" ht="19.5" customHeight="1">
      <c r="A7" s="245">
        <v>3</v>
      </c>
      <c r="B7" s="344" t="s">
        <v>438</v>
      </c>
      <c r="C7" s="245" t="s">
        <v>431</v>
      </c>
      <c r="D7" s="254">
        <f>Vatlieu_B_BQTL!D11</f>
        <v>1450000</v>
      </c>
      <c r="E7" s="245">
        <v>0.02</v>
      </c>
      <c r="F7" s="338">
        <f>D7*E7</f>
        <v>29000</v>
      </c>
    </row>
    <row r="8" spans="1:6" ht="19.5" customHeight="1">
      <c r="A8" s="245">
        <v>4</v>
      </c>
      <c r="B8" s="344" t="s">
        <v>524</v>
      </c>
      <c r="C8" s="245" t="s">
        <v>431</v>
      </c>
      <c r="D8" s="254">
        <f>Vatlieu_B_BQTL!D12</f>
        <v>1477300</v>
      </c>
      <c r="E8" s="245">
        <v>0.03</v>
      </c>
      <c r="F8" s="338">
        <f>D8*E8</f>
        <v>44319</v>
      </c>
    </row>
    <row r="9" spans="1:6" ht="19.5" customHeight="1">
      <c r="A9" s="245">
        <v>5</v>
      </c>
      <c r="B9" s="344" t="s">
        <v>516</v>
      </c>
      <c r="C9" s="245" t="s">
        <v>199</v>
      </c>
      <c r="D9" s="254">
        <v>8000</v>
      </c>
      <c r="E9" s="245">
        <v>1</v>
      </c>
      <c r="F9" s="338">
        <f>D9*E9</f>
        <v>8000</v>
      </c>
    </row>
    <row r="10" spans="1:6" ht="19.5" customHeight="1">
      <c r="A10" s="345"/>
      <c r="B10" s="339" t="s">
        <v>451</v>
      </c>
      <c r="C10" s="345"/>
      <c r="D10" s="345"/>
      <c r="E10" s="345"/>
      <c r="F10" s="340">
        <f>SUM(F5:F9)*1.08</f>
        <v>98354.52</v>
      </c>
    </row>
    <row r="11" ht="19.5" customHeight="1"/>
    <row r="12" spans="1:5" ht="19.5" customHeight="1">
      <c r="A12" s="450" t="s">
        <v>557</v>
      </c>
      <c r="B12" s="450"/>
      <c r="C12" s="450"/>
      <c r="D12" s="450"/>
      <c r="E12" s="390"/>
    </row>
    <row r="13" spans="1:4" ht="19.5" customHeight="1">
      <c r="A13" s="133" t="s">
        <v>238</v>
      </c>
      <c r="B13" s="133" t="s">
        <v>239</v>
      </c>
      <c r="C13" s="133" t="s">
        <v>240</v>
      </c>
      <c r="D13" s="240" t="s">
        <v>197</v>
      </c>
    </row>
    <row r="14" spans="1:4" s="43" customFormat="1" ht="19.5" customHeight="1">
      <c r="A14" s="300"/>
      <c r="B14" s="347" t="s">
        <v>525</v>
      </c>
      <c r="C14" s="300">
        <v>1</v>
      </c>
      <c r="D14" s="283">
        <f>F10</f>
        <v>98354.52</v>
      </c>
    </row>
    <row r="15" spans="1:4" ht="19.5" customHeight="1">
      <c r="A15" s="56">
        <v>1</v>
      </c>
      <c r="B15" s="59" t="s">
        <v>526</v>
      </c>
      <c r="C15" s="56">
        <v>0.15</v>
      </c>
      <c r="D15" s="99">
        <f>$D$14*C15</f>
        <v>14753.178</v>
      </c>
    </row>
    <row r="16" spans="1:4" ht="19.5" customHeight="1">
      <c r="A16" s="56">
        <v>2</v>
      </c>
      <c r="B16" s="59" t="s">
        <v>155</v>
      </c>
      <c r="C16" s="56"/>
      <c r="D16" s="99">
        <f>D17+D18</f>
        <v>39341.808000000005</v>
      </c>
    </row>
    <row r="17" spans="1:4" ht="19.5" customHeight="1">
      <c r="A17" s="56" t="s">
        <v>13</v>
      </c>
      <c r="B17" s="59" t="s">
        <v>527</v>
      </c>
      <c r="C17" s="56">
        <v>0.15</v>
      </c>
      <c r="D17" s="99">
        <f>$D$14*C17</f>
        <v>14753.178</v>
      </c>
    </row>
    <row r="18" spans="1:4" ht="19.5" customHeight="1">
      <c r="A18" s="56" t="s">
        <v>14</v>
      </c>
      <c r="B18" s="59" t="s">
        <v>139</v>
      </c>
      <c r="C18" s="56">
        <v>0.25</v>
      </c>
      <c r="D18" s="99">
        <f>$D$14*C18</f>
        <v>24588.63</v>
      </c>
    </row>
    <row r="19" spans="1:4" ht="19.5" customHeight="1">
      <c r="A19" s="101">
        <v>3</v>
      </c>
      <c r="B19" s="102" t="s">
        <v>156</v>
      </c>
      <c r="C19" s="101">
        <v>0.15</v>
      </c>
      <c r="D19" s="99">
        <f>$D$14*C19</f>
        <v>14753.178</v>
      </c>
    </row>
    <row r="20" spans="1:4" ht="19.5" customHeight="1">
      <c r="A20" s="321">
        <v>4</v>
      </c>
      <c r="B20" s="346" t="s">
        <v>426</v>
      </c>
      <c r="C20" s="321">
        <v>0.2</v>
      </c>
      <c r="D20" s="99">
        <f>$D$14*C20</f>
        <v>19670.904000000002</v>
      </c>
    </row>
    <row r="21" ht="19.5" customHeight="1"/>
    <row r="22" ht="19.5" customHeight="1"/>
    <row r="23" ht="19.5" customHeight="1"/>
  </sheetData>
  <sheetProtection/>
  <mergeCells count="3">
    <mergeCell ref="A1:H1"/>
    <mergeCell ref="A2:H2"/>
    <mergeCell ref="A12:D1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D5" sqref="D5"/>
    </sheetView>
  </sheetViews>
  <sheetFormatPr defaultColWidth="9.140625" defaultRowHeight="12.75"/>
  <cols>
    <col min="2" max="2" width="39.57421875" style="0" customWidth="1"/>
    <col min="4" max="4" width="18.140625" style="0" customWidth="1"/>
    <col min="6" max="6" width="14.00390625" style="0" customWidth="1"/>
  </cols>
  <sheetData>
    <row r="1" spans="1:7" ht="12.75">
      <c r="A1" s="449" t="s">
        <v>243</v>
      </c>
      <c r="B1" s="449"/>
      <c r="C1" s="449"/>
      <c r="D1" s="449"/>
      <c r="E1" s="449"/>
      <c r="F1" s="449"/>
      <c r="G1" s="449"/>
    </row>
    <row r="2" spans="1:7" ht="12.75">
      <c r="A2" s="449" t="s">
        <v>574</v>
      </c>
      <c r="B2" s="449"/>
      <c r="C2" s="449"/>
      <c r="D2" s="449"/>
      <c r="E2" s="449"/>
      <c r="F2" s="449"/>
      <c r="G2" s="449"/>
    </row>
    <row r="4" spans="1:6" ht="19.5" customHeight="1">
      <c r="A4" s="247" t="s">
        <v>238</v>
      </c>
      <c r="B4" s="247" t="s">
        <v>429</v>
      </c>
      <c r="C4" s="247" t="s">
        <v>192</v>
      </c>
      <c r="D4" s="323" t="s">
        <v>194</v>
      </c>
      <c r="E4" s="247" t="s">
        <v>245</v>
      </c>
      <c r="F4" s="324" t="s">
        <v>197</v>
      </c>
    </row>
    <row r="5" spans="1:6" ht="19.5" customHeight="1">
      <c r="A5" s="325">
        <v>1</v>
      </c>
      <c r="B5" s="326" t="s">
        <v>432</v>
      </c>
      <c r="C5" s="325" t="s">
        <v>431</v>
      </c>
      <c r="D5" s="327">
        <f>Vatlieu_B_BQTL!D6</f>
        <v>3000</v>
      </c>
      <c r="E5" s="341">
        <v>0.1</v>
      </c>
      <c r="F5" s="328">
        <f>D5*E5</f>
        <v>300</v>
      </c>
    </row>
    <row r="6" spans="1:6" ht="19.5" customHeight="1">
      <c r="A6" s="329">
        <v>2</v>
      </c>
      <c r="B6" s="330" t="s">
        <v>434</v>
      </c>
      <c r="C6" s="329" t="s">
        <v>435</v>
      </c>
      <c r="D6" s="331">
        <f>Vatlieu_B_BQTL!D8</f>
        <v>80000</v>
      </c>
      <c r="E6" s="342">
        <v>0.1</v>
      </c>
      <c r="F6" s="332">
        <f>D6*E6</f>
        <v>8000</v>
      </c>
    </row>
    <row r="7" spans="1:6" ht="19.5" customHeight="1">
      <c r="A7" s="329">
        <v>3</v>
      </c>
      <c r="B7" s="333" t="s">
        <v>438</v>
      </c>
      <c r="C7" s="329" t="s">
        <v>431</v>
      </c>
      <c r="D7" s="331">
        <f>Vatlieu_B_BQTL!D11</f>
        <v>1450000</v>
      </c>
      <c r="E7" s="342">
        <v>0.02</v>
      </c>
      <c r="F7" s="332">
        <f>D7*E7</f>
        <v>29000</v>
      </c>
    </row>
    <row r="8" spans="1:6" ht="19.5" customHeight="1">
      <c r="A8" s="334">
        <v>4</v>
      </c>
      <c r="B8" s="335" t="s">
        <v>524</v>
      </c>
      <c r="C8" s="334" t="s">
        <v>431</v>
      </c>
      <c r="D8" s="336">
        <f>Vatlieu_B_BQTL!D12</f>
        <v>1477300</v>
      </c>
      <c r="E8" s="343">
        <v>0.01</v>
      </c>
      <c r="F8" s="337">
        <f>D8*E8</f>
        <v>14773</v>
      </c>
    </row>
    <row r="9" spans="1:6" ht="24.75" customHeight="1">
      <c r="A9" s="338"/>
      <c r="B9" s="339" t="s">
        <v>451</v>
      </c>
      <c r="C9" s="338"/>
      <c r="D9" s="338"/>
      <c r="E9" s="338"/>
      <c r="F9" s="340">
        <f>SUM(F5:F8)*1.08</f>
        <v>56238.840000000004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Cty TNHH Hoang Huan</dc:creator>
  <cp:keywords/>
  <dc:description/>
  <cp:lastModifiedBy>Admin</cp:lastModifiedBy>
  <cp:lastPrinted>2020-09-18T03:02:38Z</cp:lastPrinted>
  <dcterms:created xsi:type="dcterms:W3CDTF">2007-04-09T07:27:16Z</dcterms:created>
  <dcterms:modified xsi:type="dcterms:W3CDTF">2020-09-18T04:33:36Z</dcterms:modified>
  <cp:category/>
  <cp:version/>
  <cp:contentType/>
  <cp:contentStatus/>
</cp:coreProperties>
</file>